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Carlos Filgueira\Desktop\Clases 2024\III Trimestre\Auditoría EEFF II\06 Auditoría Impuestos\Ejercicio Diferidos y Video\"/>
    </mc:Choice>
  </mc:AlternateContent>
  <xr:revisionPtr revIDLastSave="0" documentId="13_ncr:1_{95D8F415-6EF9-4A74-81EB-B4FB5A80A0F8}" xr6:coauthVersionLast="47" xr6:coauthVersionMax="47" xr10:uidLastSave="{00000000-0000-0000-0000-000000000000}"/>
  <bookViews>
    <workbookView xWindow="-98" yWindow="-98" windowWidth="21795" windowHeight="12975" tabRatio="912" firstSheet="3" activeTab="4" xr2:uid="{835CA86D-4439-4A61-92BD-67C71F610FE6}"/>
  </bookViews>
  <sheets>
    <sheet name="Nombre" sheetId="10" r:id="rId1"/>
    <sheet name="BCE" sheetId="6" r:id="rId2"/>
    <sheet name="Materialidad" sheetId="23" r:id="rId3"/>
    <sheet name="Diferidos" sheetId="4" r:id="rId4"/>
    <sheet name="Asientos Ajustes" sheetId="3" r:id="rId5"/>
    <sheet name="Hoja1" sheetId="24" r:id="rId6"/>
    <sheet name="1." sheetId="20" r:id="rId7"/>
    <sheet name="2." sheetId="21" r:id="rId8"/>
    <sheet name="3." sheetId="22" r:id="rId9"/>
    <sheet name="4. Provisiones" sheetId="17" r:id="rId10"/>
    <sheet name="5. PPE" sheetId="19" r:id="rId11"/>
    <sheet name="6. Leasing" sheetId="18" r:id="rId12"/>
    <sheet name="7. Forward" sheetId="12" r:id="rId13"/>
    <sheet name="8. Deterioro" sheetId="15" r:id="rId14"/>
    <sheet name="9. Acciones" sheetId="14" r:id="rId15"/>
    <sheet name="10.Existencias" sheetId="16"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1" i="18" l="1"/>
  <c r="H80" i="18"/>
  <c r="L81" i="18"/>
  <c r="D73" i="3"/>
  <c r="C72" i="3"/>
  <c r="H26" i="4"/>
  <c r="G26" i="4"/>
  <c r="F23" i="4"/>
  <c r="H23" i="4" s="1"/>
  <c r="E23" i="4"/>
  <c r="I20" i="16"/>
  <c r="G20" i="16"/>
  <c r="F20" i="16"/>
  <c r="D23" i="4"/>
  <c r="I18" i="16"/>
  <c r="I16" i="16"/>
  <c r="C23" i="4"/>
  <c r="E22" i="4"/>
  <c r="F22" i="4" s="1"/>
  <c r="G22" i="4" s="1"/>
  <c r="F33" i="14"/>
  <c r="G34" i="14" s="1"/>
  <c r="D34" i="14"/>
  <c r="C33" i="14"/>
  <c r="B34" i="14"/>
  <c r="B33" i="14"/>
  <c r="D22" i="4"/>
  <c r="G28" i="14"/>
  <c r="F27" i="14"/>
  <c r="D28" i="14"/>
  <c r="C22" i="4"/>
  <c r="E21" i="4"/>
  <c r="F21" i="4" s="1"/>
  <c r="H21" i="4" s="1"/>
  <c r="G22" i="14"/>
  <c r="F21" i="14"/>
  <c r="C21" i="14"/>
  <c r="D21" i="4"/>
  <c r="C21" i="4"/>
  <c r="G16" i="14"/>
  <c r="F15" i="14"/>
  <c r="C15" i="14"/>
  <c r="D20" i="4"/>
  <c r="G68" i="3"/>
  <c r="F67" i="3"/>
  <c r="D68" i="3"/>
  <c r="I33" i="15"/>
  <c r="I31" i="15"/>
  <c r="K29" i="15"/>
  <c r="I29" i="15"/>
  <c r="I27" i="15"/>
  <c r="G62" i="15"/>
  <c r="I62" i="15" s="1"/>
  <c r="M24" i="15" s="1"/>
  <c r="G60" i="15"/>
  <c r="G59" i="15"/>
  <c r="G58" i="15"/>
  <c r="G57" i="15"/>
  <c r="G54" i="15"/>
  <c r="G48" i="15"/>
  <c r="G47" i="15"/>
  <c r="G45" i="15"/>
  <c r="G44" i="15"/>
  <c r="G42" i="15"/>
  <c r="G31" i="15"/>
  <c r="G38" i="15" s="1"/>
  <c r="I38" i="15" s="1"/>
  <c r="M22" i="15" s="1"/>
  <c r="G32" i="15"/>
  <c r="G33" i="15"/>
  <c r="G34" i="15"/>
  <c r="G35" i="15"/>
  <c r="G36" i="15"/>
  <c r="G37" i="15"/>
  <c r="C62" i="15"/>
  <c r="C50" i="15"/>
  <c r="C38" i="15"/>
  <c r="C20" i="4"/>
  <c r="G12" i="15"/>
  <c r="G11" i="15"/>
  <c r="G10" i="15"/>
  <c r="G9" i="15"/>
  <c r="G8" i="15"/>
  <c r="G7" i="15"/>
  <c r="E19" i="4"/>
  <c r="G26" i="12"/>
  <c r="F25" i="12"/>
  <c r="C25" i="12"/>
  <c r="D19" i="4"/>
  <c r="C19" i="4"/>
  <c r="G20" i="12"/>
  <c r="F19" i="12"/>
  <c r="C19" i="12"/>
  <c r="C18" i="4"/>
  <c r="H85" i="18"/>
  <c r="D18" i="4" s="1"/>
  <c r="F18" i="4" s="1"/>
  <c r="H18" i="4" s="1"/>
  <c r="F61" i="3"/>
  <c r="G62" i="3" s="1"/>
  <c r="D62" i="3"/>
  <c r="C61" i="3"/>
  <c r="D60" i="3"/>
  <c r="C59" i="3"/>
  <c r="B60" i="3"/>
  <c r="B61" i="3"/>
  <c r="B62" i="3"/>
  <c r="B59" i="3"/>
  <c r="I94" i="18"/>
  <c r="H93" i="18"/>
  <c r="E94" i="18"/>
  <c r="C93" i="18"/>
  <c r="E92" i="18"/>
  <c r="H91" i="18"/>
  <c r="F59" i="3" s="1"/>
  <c r="G60" i="3" s="1"/>
  <c r="C91" i="18"/>
  <c r="K84" i="18"/>
  <c r="K81" i="18"/>
  <c r="K80" i="18"/>
  <c r="I92" i="18" s="1"/>
  <c r="H83" i="18"/>
  <c r="H82" i="18"/>
  <c r="I81" i="18"/>
  <c r="I84" i="18"/>
  <c r="I80" i="18"/>
  <c r="H73" i="18"/>
  <c r="I74" i="18" s="1"/>
  <c r="E74" i="18"/>
  <c r="C73" i="18"/>
  <c r="F69" i="18"/>
  <c r="F68" i="18"/>
  <c r="H48" i="18"/>
  <c r="I49" i="18" s="1"/>
  <c r="E49" i="18"/>
  <c r="H38" i="18"/>
  <c r="I39" i="18" s="1"/>
  <c r="E39" i="18"/>
  <c r="C38" i="18"/>
  <c r="G34" i="18"/>
  <c r="G33" i="18"/>
  <c r="G32" i="18"/>
  <c r="I28" i="18"/>
  <c r="F26" i="18"/>
  <c r="D28" i="18"/>
  <c r="I29" i="18"/>
  <c r="H27" i="18"/>
  <c r="K27" i="18"/>
  <c r="K26" i="18"/>
  <c r="K25" i="18"/>
  <c r="E28" i="18"/>
  <c r="H26" i="18"/>
  <c r="C26" i="18"/>
  <c r="P130" i="18"/>
  <c r="R11" i="18"/>
  <c r="Q11" i="18"/>
  <c r="P11" i="18"/>
  <c r="P10" i="18"/>
  <c r="Q10" i="18"/>
  <c r="R10" i="18" s="1"/>
  <c r="O130" i="18"/>
  <c r="O12" i="18"/>
  <c r="O13" i="18"/>
  <c r="O14" i="18" s="1"/>
  <c r="O15" i="18" s="1"/>
  <c r="O16" i="18" s="1"/>
  <c r="O17" i="18" s="1"/>
  <c r="O18" i="18" s="1"/>
  <c r="O19" i="18" s="1"/>
  <c r="O20" i="18" s="1"/>
  <c r="O21" i="18" s="1"/>
  <c r="O22" i="18" s="1"/>
  <c r="O23" i="18" s="1"/>
  <c r="O24" i="18" s="1"/>
  <c r="O25" i="18" s="1"/>
  <c r="O26" i="18" s="1"/>
  <c r="O27" i="18" s="1"/>
  <c r="O28" i="18" s="1"/>
  <c r="O29" i="18" s="1"/>
  <c r="O30" i="18" s="1"/>
  <c r="O31" i="18" s="1"/>
  <c r="O32" i="18" s="1"/>
  <c r="O33" i="18" s="1"/>
  <c r="O34" i="18" s="1"/>
  <c r="O35" i="18" s="1"/>
  <c r="O36" i="18" s="1"/>
  <c r="O37" i="18" s="1"/>
  <c r="O38" i="18" s="1"/>
  <c r="O39" i="18" s="1"/>
  <c r="O40" i="18" s="1"/>
  <c r="O41" i="18" s="1"/>
  <c r="O42" i="18" s="1"/>
  <c r="O43" i="18" s="1"/>
  <c r="O44" i="18" s="1"/>
  <c r="O45" i="18" s="1"/>
  <c r="O46" i="18" s="1"/>
  <c r="O47" i="18" s="1"/>
  <c r="O48" i="18" s="1"/>
  <c r="O49" i="18" s="1"/>
  <c r="O50" i="18" s="1"/>
  <c r="O51" i="18" s="1"/>
  <c r="O52" i="18" s="1"/>
  <c r="O53" i="18" s="1"/>
  <c r="O54" i="18" s="1"/>
  <c r="O55" i="18" s="1"/>
  <c r="O56" i="18" s="1"/>
  <c r="O57" i="18" s="1"/>
  <c r="O58" i="18" s="1"/>
  <c r="O59" i="18" s="1"/>
  <c r="O60" i="18" s="1"/>
  <c r="O61" i="18" s="1"/>
  <c r="O62" i="18" s="1"/>
  <c r="O63" i="18" s="1"/>
  <c r="O64" i="18" s="1"/>
  <c r="O65" i="18" s="1"/>
  <c r="O66" i="18" s="1"/>
  <c r="O67" i="18" s="1"/>
  <c r="O68" i="18" s="1"/>
  <c r="O69" i="18" s="1"/>
  <c r="O70" i="18" s="1"/>
  <c r="O71" i="18" s="1"/>
  <c r="O72" i="18" s="1"/>
  <c r="O73" i="18" s="1"/>
  <c r="O74" i="18" s="1"/>
  <c r="O75" i="18" s="1"/>
  <c r="O76" i="18" s="1"/>
  <c r="O77" i="18" s="1"/>
  <c r="O78" i="18" s="1"/>
  <c r="O79" i="18" s="1"/>
  <c r="O80" i="18" s="1"/>
  <c r="O81" i="18" s="1"/>
  <c r="O82" i="18" s="1"/>
  <c r="O83" i="18" s="1"/>
  <c r="O84" i="18" s="1"/>
  <c r="O85" i="18" s="1"/>
  <c r="O86" i="18" s="1"/>
  <c r="O87" i="18" s="1"/>
  <c r="O88" i="18" s="1"/>
  <c r="O89" i="18" s="1"/>
  <c r="O90" i="18" s="1"/>
  <c r="O91" i="18" s="1"/>
  <c r="O92" i="18" s="1"/>
  <c r="O93" i="18" s="1"/>
  <c r="O94" i="18" s="1"/>
  <c r="O95" i="18" s="1"/>
  <c r="O96" i="18" s="1"/>
  <c r="O97" i="18" s="1"/>
  <c r="O98" i="18" s="1"/>
  <c r="O99" i="18" s="1"/>
  <c r="O100" i="18" s="1"/>
  <c r="O101" i="18" s="1"/>
  <c r="O102" i="18" s="1"/>
  <c r="O103" i="18" s="1"/>
  <c r="O104" i="18" s="1"/>
  <c r="O105" i="18" s="1"/>
  <c r="O106" i="18" s="1"/>
  <c r="O107" i="18" s="1"/>
  <c r="O108" i="18" s="1"/>
  <c r="O109" i="18" s="1"/>
  <c r="O110" i="18" s="1"/>
  <c r="O111" i="18" s="1"/>
  <c r="O112" i="18" s="1"/>
  <c r="O113" i="18" s="1"/>
  <c r="O114" i="18" s="1"/>
  <c r="O115" i="18" s="1"/>
  <c r="O116" i="18" s="1"/>
  <c r="O117" i="18" s="1"/>
  <c r="O118" i="18" s="1"/>
  <c r="O119" i="18" s="1"/>
  <c r="O120" i="18" s="1"/>
  <c r="O121" i="18" s="1"/>
  <c r="O122" i="18" s="1"/>
  <c r="O123" i="18" s="1"/>
  <c r="O124" i="18" s="1"/>
  <c r="O125" i="18" s="1"/>
  <c r="O126" i="18" s="1"/>
  <c r="O127" i="18" s="1"/>
  <c r="O128" i="18" s="1"/>
  <c r="O129" i="18" s="1"/>
  <c r="O11" i="18"/>
  <c r="O10" i="18"/>
  <c r="P7" i="18"/>
  <c r="D22" i="18"/>
  <c r="H22" i="18"/>
  <c r="K20" i="18"/>
  <c r="G20" i="18"/>
  <c r="D20" i="18"/>
  <c r="J18" i="18"/>
  <c r="J17" i="18"/>
  <c r="H18" i="18"/>
  <c r="H17" i="18"/>
  <c r="F17" i="18"/>
  <c r="D17" i="18"/>
  <c r="F9" i="18"/>
  <c r="D17" i="4"/>
  <c r="F17" i="4" s="1"/>
  <c r="H17" i="4" s="1"/>
  <c r="C55" i="3"/>
  <c r="G56" i="3"/>
  <c r="F55" i="3" s="1"/>
  <c r="D56" i="3"/>
  <c r="F54" i="3"/>
  <c r="C54" i="3"/>
  <c r="E53" i="19"/>
  <c r="C53" i="19"/>
  <c r="C52" i="19"/>
  <c r="C51" i="19"/>
  <c r="B52" i="19"/>
  <c r="B51" i="19"/>
  <c r="E17" i="4"/>
  <c r="C17" i="4"/>
  <c r="E16" i="4"/>
  <c r="D16" i="4"/>
  <c r="F16" i="4" s="1"/>
  <c r="G16" i="4" s="1"/>
  <c r="C16" i="4"/>
  <c r="F50" i="3"/>
  <c r="G51" i="3" s="1"/>
  <c r="D51" i="3"/>
  <c r="E46" i="19"/>
  <c r="D46" i="19"/>
  <c r="C46" i="19"/>
  <c r="B46" i="19"/>
  <c r="B156" i="17"/>
  <c r="C15" i="4"/>
  <c r="G47" i="3"/>
  <c r="D15" i="4" s="1"/>
  <c r="F15" i="4" s="1"/>
  <c r="G15" i="4" s="1"/>
  <c r="F46" i="3"/>
  <c r="C46" i="3"/>
  <c r="E156" i="17"/>
  <c r="F156" i="17" s="1"/>
  <c r="D156" i="17"/>
  <c r="I155" i="17"/>
  <c r="C14" i="4"/>
  <c r="C13" i="4"/>
  <c r="D41" i="3"/>
  <c r="D35" i="3"/>
  <c r="G121" i="17"/>
  <c r="H121" i="17" s="1"/>
  <c r="G122" i="17"/>
  <c r="H122" i="17" s="1"/>
  <c r="G123" i="17"/>
  <c r="H123" i="17" s="1"/>
  <c r="G120" i="17"/>
  <c r="H120" i="17" s="1"/>
  <c r="D29" i="3"/>
  <c r="E102" i="17"/>
  <c r="D102" i="17"/>
  <c r="B102" i="17"/>
  <c r="D23" i="3"/>
  <c r="C12" i="4" s="1"/>
  <c r="E85" i="17"/>
  <c r="F85" i="17" s="1"/>
  <c r="F22" i="3" s="1"/>
  <c r="G23" i="3" s="1"/>
  <c r="D12" i="4" s="1"/>
  <c r="F12" i="4" s="1"/>
  <c r="G12" i="4" s="1"/>
  <c r="F16" i="3"/>
  <c r="G17" i="3" s="1"/>
  <c r="C16" i="3"/>
  <c r="D66" i="17"/>
  <c r="F66" i="17" s="1"/>
  <c r="B66" i="17"/>
  <c r="D11" i="4"/>
  <c r="F11" i="4" s="1"/>
  <c r="G11" i="4" s="1"/>
  <c r="C11" i="4"/>
  <c r="D54" i="17"/>
  <c r="E54" i="17" s="1"/>
  <c r="B54" i="17"/>
  <c r="D37" i="17"/>
  <c r="B37" i="17"/>
  <c r="C10" i="4" s="1"/>
  <c r="I18" i="17"/>
  <c r="I19" i="17"/>
  <c r="I20" i="17"/>
  <c r="I21" i="17"/>
  <c r="I22" i="17"/>
  <c r="I23" i="17"/>
  <c r="I24" i="17"/>
  <c r="I25" i="17"/>
  <c r="I17" i="17"/>
  <c r="F18" i="17"/>
  <c r="G18" i="17" s="1"/>
  <c r="F19" i="17"/>
  <c r="G19" i="17" s="1"/>
  <c r="F20" i="17"/>
  <c r="G20" i="17" s="1"/>
  <c r="F21" i="17"/>
  <c r="G21" i="17" s="1"/>
  <c r="F22" i="17"/>
  <c r="G22" i="17" s="1"/>
  <c r="F23" i="17"/>
  <c r="G23" i="17" s="1"/>
  <c r="F24" i="17"/>
  <c r="G24" i="17" s="1"/>
  <c r="K24" i="17" s="1"/>
  <c r="F25" i="17"/>
  <c r="G25" i="17" s="1"/>
  <c r="F17" i="17"/>
  <c r="G17" i="17" s="1"/>
  <c r="F11" i="6"/>
  <c r="F9" i="6" s="1"/>
  <c r="G5" i="3"/>
  <c r="C4" i="3"/>
  <c r="D11" i="3" s="1"/>
  <c r="D29" i="17"/>
  <c r="B29" i="17"/>
  <c r="C9" i="4" s="1"/>
  <c r="D9" i="17"/>
  <c r="E9" i="17" s="1"/>
  <c r="F9" i="17" s="1"/>
  <c r="B9" i="17"/>
  <c r="C8" i="4" s="1"/>
  <c r="E7" i="4"/>
  <c r="F7" i="4" s="1"/>
  <c r="G7" i="4" s="1"/>
  <c r="C7" i="4"/>
  <c r="C28" i="22"/>
  <c r="C27" i="22"/>
  <c r="C26" i="22"/>
  <c r="G21" i="22"/>
  <c r="E22" i="22"/>
  <c r="E21" i="22"/>
  <c r="E20" i="22"/>
  <c r="D21" i="22"/>
  <c r="D20" i="22"/>
  <c r="G6" i="4"/>
  <c r="F6" i="4"/>
  <c r="C6" i="4"/>
  <c r="E19" i="21"/>
  <c r="E18" i="21"/>
  <c r="E17" i="21"/>
  <c r="F5" i="4"/>
  <c r="G5" i="4" s="1"/>
  <c r="E13" i="20"/>
  <c r="E9" i="20"/>
  <c r="E8" i="20"/>
  <c r="E37" i="23"/>
  <c r="E32" i="23"/>
  <c r="C37" i="23"/>
  <c r="C32" i="23"/>
  <c r="E15" i="23"/>
  <c r="C19" i="23"/>
  <c r="C15" i="23"/>
  <c r="C10" i="23"/>
  <c r="E8" i="23"/>
  <c r="D8" i="23"/>
  <c r="C8" i="23"/>
  <c r="G14" i="12"/>
  <c r="F14" i="12"/>
  <c r="C84" i="18"/>
  <c r="C81" i="18"/>
  <c r="C80" i="18"/>
  <c r="C16" i="22"/>
  <c r="C22" i="22"/>
  <c r="C21" i="22"/>
  <c r="C20" i="22"/>
  <c r="G15" i="22"/>
  <c r="G16" i="22" s="1"/>
  <c r="E16" i="22"/>
  <c r="E15" i="22"/>
  <c r="E14" i="22"/>
  <c r="D15" i="22"/>
  <c r="D14" i="22"/>
  <c r="C19" i="21"/>
  <c r="C33" i="6"/>
  <c r="D140" i="17"/>
  <c r="C24" i="6"/>
  <c r="F20" i="6"/>
  <c r="F16" i="6"/>
  <c r="C19" i="6"/>
  <c r="C7" i="6"/>
  <c r="E30" i="19"/>
  <c r="F28" i="19" s="1"/>
  <c r="E25" i="19"/>
  <c r="C29" i="6" s="1"/>
  <c r="G23" i="19"/>
  <c r="E14" i="19"/>
  <c r="E15" i="19" s="1"/>
  <c r="E9" i="19"/>
  <c r="G9" i="19" s="1"/>
  <c r="G8" i="19"/>
  <c r="G50" i="15" l="1"/>
  <c r="I50" i="15" s="1"/>
  <c r="M23" i="15" s="1"/>
  <c r="M25" i="15" s="1"/>
  <c r="K27" i="15" s="1"/>
  <c r="G15" i="15"/>
  <c r="E20" i="4" s="1"/>
  <c r="F20" i="4" s="1"/>
  <c r="H20" i="4" s="1"/>
  <c r="P12" i="18"/>
  <c r="Q12" i="18" s="1"/>
  <c r="R12" i="18" s="1"/>
  <c r="H124" i="17"/>
  <c r="E129" i="17" s="1"/>
  <c r="F129" i="17" s="1"/>
  <c r="F34" i="3" s="1"/>
  <c r="G35" i="3" s="1"/>
  <c r="K23" i="17"/>
  <c r="F102" i="17"/>
  <c r="F28" i="3" s="1"/>
  <c r="G29" i="3" s="1"/>
  <c r="K25" i="17"/>
  <c r="D8" i="4"/>
  <c r="E8" i="4" s="1"/>
  <c r="K22" i="17"/>
  <c r="K21" i="17"/>
  <c r="K20" i="17"/>
  <c r="K19" i="17"/>
  <c r="K17" i="17"/>
  <c r="K18" i="17"/>
  <c r="E37" i="17"/>
  <c r="D10" i="4" s="1"/>
  <c r="E10" i="4" s="1"/>
  <c r="C27" i="6"/>
  <c r="G10" i="19"/>
  <c r="F13" i="19"/>
  <c r="F15" i="19" s="1"/>
  <c r="G15" i="19" s="1"/>
  <c r="E10" i="19"/>
  <c r="G25" i="19"/>
  <c r="F30" i="19"/>
  <c r="F7" i="6"/>
  <c r="F24" i="6" s="1"/>
  <c r="C30" i="6"/>
  <c r="P13" i="18" l="1"/>
  <c r="Q13" i="18" s="1"/>
  <c r="R13" i="18" s="1"/>
  <c r="D13" i="4"/>
  <c r="E13" i="4" s="1"/>
  <c r="K26" i="17"/>
  <c r="D9" i="4" s="1"/>
  <c r="F9" i="4" s="1"/>
  <c r="G9" i="4" s="1"/>
  <c r="F37" i="17"/>
  <c r="E29" i="17"/>
  <c r="F29" i="17" s="1"/>
  <c r="F10" i="3" s="1"/>
  <c r="G11" i="3" s="1"/>
  <c r="G30" i="19"/>
  <c r="C28" i="6"/>
  <c r="I22" i="18"/>
  <c r="E5" i="18"/>
  <c r="P14" i="18" l="1"/>
  <c r="Q14" i="18" s="1"/>
  <c r="R14" i="18" s="1"/>
  <c r="C26" i="6"/>
  <c r="C36" i="6" s="1"/>
  <c r="R9" i="18"/>
  <c r="P15" i="18" l="1"/>
  <c r="Q15" i="18" s="1"/>
  <c r="R15" i="18" s="1"/>
  <c r="I31" i="18"/>
  <c r="P16" i="18" l="1"/>
  <c r="Q16" i="18" s="1"/>
  <c r="R16" i="18" s="1"/>
  <c r="H31" i="18"/>
  <c r="I32" i="18" s="1"/>
  <c r="P17" i="18" l="1"/>
  <c r="Q17" i="18" s="1"/>
  <c r="R17" i="18" s="1"/>
  <c r="I99" i="18"/>
  <c r="P18" i="18" l="1"/>
  <c r="Q18" i="18" s="1"/>
  <c r="R18" i="18" s="1"/>
  <c r="H99" i="18"/>
  <c r="I101" i="18" s="1"/>
  <c r="P19" i="18" l="1"/>
  <c r="Q19" i="18" s="1"/>
  <c r="R19" i="18" s="1"/>
  <c r="F31" i="6"/>
  <c r="F26" i="6"/>
  <c r="F29" i="6" s="1"/>
  <c r="E140" i="17"/>
  <c r="F140" i="17"/>
  <c r="G140" i="17"/>
  <c r="P20" i="18" l="1"/>
  <c r="Q20" i="18" s="1"/>
  <c r="R20" i="18" s="1"/>
  <c r="D142" i="17"/>
  <c r="E146" i="17" s="1"/>
  <c r="F37" i="6"/>
  <c r="P21" i="18" l="1"/>
  <c r="Q21" i="18" s="1"/>
  <c r="R21" i="18" s="1"/>
  <c r="F146" i="17"/>
  <c r="F40" i="3" s="1"/>
  <c r="G41" i="3" s="1"/>
  <c r="D14" i="4"/>
  <c r="F14" i="4" s="1"/>
  <c r="G14" i="4" s="1"/>
  <c r="G24" i="4" s="1"/>
  <c r="G28" i="4" s="1"/>
  <c r="F72" i="3" s="1"/>
  <c r="G6" i="16"/>
  <c r="I6" i="16" s="1"/>
  <c r="J6" i="16" s="1"/>
  <c r="E6" i="16"/>
  <c r="E7" i="16" s="1"/>
  <c r="E8" i="16" s="1"/>
  <c r="E9" i="16" s="1"/>
  <c r="E10" i="16" s="1"/>
  <c r="E11" i="16" s="1"/>
  <c r="E12" i="16" s="1"/>
  <c r="E13" i="16" s="1"/>
  <c r="E14" i="16" s="1"/>
  <c r="G11" i="16"/>
  <c r="G9" i="16"/>
  <c r="G7" i="16"/>
  <c r="P22" i="18" l="1"/>
  <c r="Q22" i="18" s="1"/>
  <c r="R22" i="18" s="1"/>
  <c r="I7" i="16"/>
  <c r="R23" i="18" l="1"/>
  <c r="P23" i="18"/>
  <c r="Q23" i="18" s="1"/>
  <c r="J7" i="16"/>
  <c r="H8" i="16" s="1"/>
  <c r="I8" i="16" s="1"/>
  <c r="R24" i="18" l="1"/>
  <c r="P24" i="18"/>
  <c r="Q24" i="18" s="1"/>
  <c r="J8" i="16"/>
  <c r="I9" i="16"/>
  <c r="P25" i="18" l="1"/>
  <c r="Q25" i="18" s="1"/>
  <c r="R25" i="18" s="1"/>
  <c r="J9" i="16"/>
  <c r="H10" i="16" s="1"/>
  <c r="I10" i="16" s="1"/>
  <c r="P26" i="18" l="1"/>
  <c r="Q26" i="18" s="1"/>
  <c r="R26" i="18" s="1"/>
  <c r="J10" i="16"/>
  <c r="I11" i="16"/>
  <c r="P27" i="18" l="1"/>
  <c r="Q27" i="18" s="1"/>
  <c r="R27" i="18" s="1"/>
  <c r="J11" i="16"/>
  <c r="H12" i="16" s="1"/>
  <c r="I12" i="16" s="1"/>
  <c r="P28" i="18" l="1"/>
  <c r="Q28" i="18" s="1"/>
  <c r="R28" i="18" s="1"/>
  <c r="J12" i="16"/>
  <c r="H13" i="16" s="1"/>
  <c r="I13" i="16" s="1"/>
  <c r="P29" i="18" l="1"/>
  <c r="Q29" i="18" s="1"/>
  <c r="R29" i="18" s="1"/>
  <c r="J13" i="16"/>
  <c r="H14" i="16" s="1"/>
  <c r="I14" i="16" s="1"/>
  <c r="E15" i="15"/>
  <c r="C15" i="6" s="1"/>
  <c r="C14" i="6" s="1"/>
  <c r="G26" i="15"/>
  <c r="E26" i="15"/>
  <c r="C26" i="15"/>
  <c r="P30" i="18" l="1"/>
  <c r="Q30" i="18" s="1"/>
  <c r="R30" i="18" s="1"/>
  <c r="J14" i="16"/>
  <c r="C18" i="6"/>
  <c r="C17" i="6" s="1"/>
  <c r="I26" i="15"/>
  <c r="P31" i="18" l="1"/>
  <c r="Q31" i="18" s="1"/>
  <c r="R31" i="18" s="1"/>
  <c r="C13" i="6"/>
  <c r="C12" i="6"/>
  <c r="B6" i="14"/>
  <c r="C39" i="14" s="1"/>
  <c r="B5" i="14"/>
  <c r="B10" i="14" s="1"/>
  <c r="P32" i="18" l="1"/>
  <c r="Q32" i="18" s="1"/>
  <c r="R32" i="18" s="1"/>
  <c r="C10" i="6"/>
  <c r="C22" i="6" s="1"/>
  <c r="C38" i="6" s="1"/>
  <c r="H24" i="4"/>
  <c r="H28" i="4" s="1"/>
  <c r="G73" i="3" s="1"/>
  <c r="G74" i="3" s="1"/>
  <c r="B11" i="14"/>
  <c r="C38" i="14"/>
  <c r="P33" i="18" l="1"/>
  <c r="Q33" i="18" s="1"/>
  <c r="R33" i="18" s="1"/>
  <c r="H35" i="6"/>
  <c r="C9" i="23"/>
  <c r="C17" i="23" s="1"/>
  <c r="H37" i="6"/>
  <c r="G77" i="3"/>
  <c r="P34" i="18" l="1"/>
  <c r="Q34" i="18" s="1"/>
  <c r="R34" i="18" s="1"/>
  <c r="F77" i="3"/>
  <c r="G79" i="3" s="1"/>
  <c r="P35" i="18" l="1"/>
  <c r="Q35" i="18" s="1"/>
  <c r="R35" i="18" s="1"/>
  <c r="P36" i="18" l="1"/>
  <c r="Q36" i="18" s="1"/>
  <c r="R36" i="18" s="1"/>
  <c r="P37" i="18" l="1"/>
  <c r="Q37" i="18" s="1"/>
  <c r="R37" i="18" s="1"/>
  <c r="P38" i="18" l="1"/>
  <c r="Q38" i="18" s="1"/>
  <c r="R38" i="18" s="1"/>
  <c r="P39" i="18" l="1"/>
  <c r="Q39" i="18" s="1"/>
  <c r="R39" i="18" s="1"/>
  <c r="P40" i="18" l="1"/>
  <c r="Q40" i="18" s="1"/>
  <c r="R40" i="18" s="1"/>
  <c r="P41" i="18" l="1"/>
  <c r="Q41" i="18" s="1"/>
  <c r="R41" i="18" s="1"/>
  <c r="P42" i="18" l="1"/>
  <c r="Q42" i="18" s="1"/>
  <c r="R42" i="18" s="1"/>
  <c r="P43" i="18" l="1"/>
  <c r="Q43" i="18" s="1"/>
  <c r="R43" i="18" s="1"/>
  <c r="P44" i="18" l="1"/>
  <c r="Q44" i="18" s="1"/>
  <c r="R44" i="18" s="1"/>
  <c r="P45" i="18" l="1"/>
  <c r="Q45" i="18" s="1"/>
  <c r="R45" i="18" s="1"/>
  <c r="P46" i="18" l="1"/>
  <c r="Q46" i="18" s="1"/>
  <c r="R46" i="18" s="1"/>
  <c r="P47" i="18" l="1"/>
  <c r="Q47" i="18" s="1"/>
  <c r="R47" i="18" s="1"/>
  <c r="P48" i="18" l="1"/>
  <c r="Q48" i="18" s="1"/>
  <c r="R48" i="18" s="1"/>
  <c r="P49" i="18" l="1"/>
  <c r="Q49" i="18" s="1"/>
  <c r="R49" i="18" s="1"/>
  <c r="P50" i="18" l="1"/>
  <c r="Q50" i="18" s="1"/>
  <c r="R50" i="18" s="1"/>
  <c r="P51" i="18" l="1"/>
  <c r="Q51" i="18" s="1"/>
  <c r="R51" i="18" s="1"/>
  <c r="P52" i="18" l="1"/>
  <c r="Q52" i="18" s="1"/>
  <c r="R52" i="18" s="1"/>
  <c r="P53" i="18" l="1"/>
  <c r="Q53" i="18" s="1"/>
  <c r="R53" i="18" s="1"/>
  <c r="P54" i="18" l="1"/>
  <c r="Q54" i="18" s="1"/>
  <c r="R54" i="18" s="1"/>
  <c r="P55" i="18" l="1"/>
  <c r="Q55" i="18" s="1"/>
  <c r="R55" i="18" s="1"/>
  <c r="P56" i="18" l="1"/>
  <c r="Q56" i="18" s="1"/>
  <c r="R56" i="18" s="1"/>
  <c r="P57" i="18" l="1"/>
  <c r="Q57" i="18" s="1"/>
  <c r="R57" i="18" s="1"/>
  <c r="P58" i="18" l="1"/>
  <c r="Q58" i="18" s="1"/>
  <c r="R58" i="18" s="1"/>
  <c r="P59" i="18" l="1"/>
  <c r="Q59" i="18" s="1"/>
  <c r="R59" i="18"/>
  <c r="P60" i="18" l="1"/>
  <c r="Q60" i="18" s="1"/>
  <c r="R60" i="18" s="1"/>
  <c r="P61" i="18" l="1"/>
  <c r="Q61" i="18" s="1"/>
  <c r="R61" i="18" s="1"/>
  <c r="P62" i="18" l="1"/>
  <c r="Q62" i="18" s="1"/>
  <c r="R62" i="18" s="1"/>
  <c r="P63" i="18" l="1"/>
  <c r="Q63" i="18" s="1"/>
  <c r="R63" i="18" s="1"/>
  <c r="P64" i="18" l="1"/>
  <c r="Q64" i="18" s="1"/>
  <c r="R64" i="18" s="1"/>
  <c r="P65" i="18" l="1"/>
  <c r="Q65" i="18" s="1"/>
  <c r="R65" i="18" s="1"/>
  <c r="P66" i="18" l="1"/>
  <c r="Q66" i="18" s="1"/>
  <c r="R66" i="18" s="1"/>
  <c r="P67" i="18" l="1"/>
  <c r="Q67" i="18" s="1"/>
  <c r="R67" i="18" s="1"/>
  <c r="P68" i="18" l="1"/>
  <c r="Q68" i="18" s="1"/>
  <c r="R68" i="18" s="1"/>
  <c r="P69" i="18" l="1"/>
  <c r="Q69" i="18" s="1"/>
  <c r="R69" i="18" s="1"/>
  <c r="P70" i="18" l="1"/>
  <c r="Q70" i="18" s="1"/>
  <c r="R70" i="18" s="1"/>
  <c r="R71" i="18" l="1"/>
  <c r="P71" i="18"/>
  <c r="Q71" i="18" s="1"/>
  <c r="P72" i="18" l="1"/>
  <c r="Q72" i="18" s="1"/>
  <c r="R72" i="18" s="1"/>
  <c r="P73" i="18" l="1"/>
  <c r="Q73" i="18" s="1"/>
  <c r="R73" i="18" s="1"/>
  <c r="P74" i="18" l="1"/>
  <c r="Q74" i="18" s="1"/>
  <c r="R74" i="18" s="1"/>
  <c r="P75" i="18" l="1"/>
  <c r="Q75" i="18" s="1"/>
  <c r="R75" i="18" s="1"/>
  <c r="P76" i="18" l="1"/>
  <c r="Q76" i="18" s="1"/>
  <c r="R76" i="18" s="1"/>
  <c r="R77" i="18" l="1"/>
  <c r="P77" i="18"/>
  <c r="Q77" i="18" s="1"/>
  <c r="R78" i="18" l="1"/>
  <c r="P78" i="18"/>
  <c r="Q78" i="18" s="1"/>
  <c r="P79" i="18" l="1"/>
  <c r="Q79" i="18" s="1"/>
  <c r="R79" i="18" s="1"/>
  <c r="P80" i="18" l="1"/>
  <c r="Q80" i="18" s="1"/>
  <c r="R80" i="18" s="1"/>
  <c r="P81" i="18" l="1"/>
  <c r="Q81" i="18" s="1"/>
  <c r="R81" i="18" s="1"/>
  <c r="R82" i="18" l="1"/>
  <c r="P82" i="18"/>
  <c r="Q82" i="18" s="1"/>
  <c r="P83" i="18" l="1"/>
  <c r="Q83" i="18" s="1"/>
  <c r="R83" i="18" s="1"/>
  <c r="R84" i="18" l="1"/>
  <c r="P84" i="18"/>
  <c r="Q84" i="18" s="1"/>
  <c r="P85" i="18" l="1"/>
  <c r="Q85" i="18" s="1"/>
  <c r="R85" i="18" s="1"/>
  <c r="R86" i="18" l="1"/>
  <c r="P86" i="18"/>
  <c r="Q86" i="18" s="1"/>
  <c r="R87" i="18" l="1"/>
  <c r="P87" i="18"/>
  <c r="Q87" i="18" s="1"/>
  <c r="P88" i="18" l="1"/>
  <c r="Q88" i="18" s="1"/>
  <c r="R88" i="18" s="1"/>
  <c r="P89" i="18" l="1"/>
  <c r="Q89" i="18" s="1"/>
  <c r="R89" i="18" s="1"/>
  <c r="P90" i="18" l="1"/>
  <c r="Q90" i="18" s="1"/>
  <c r="R90" i="18" s="1"/>
  <c r="P91" i="18" l="1"/>
  <c r="Q91" i="18" s="1"/>
  <c r="R91" i="18" s="1"/>
  <c r="P92" i="18" l="1"/>
  <c r="Q92" i="18" s="1"/>
  <c r="R92" i="18" s="1"/>
  <c r="P93" i="18" l="1"/>
  <c r="Q93" i="18" s="1"/>
  <c r="R93" i="18" s="1"/>
  <c r="P94" i="18" l="1"/>
  <c r="Q94" i="18" s="1"/>
  <c r="R94" i="18" s="1"/>
  <c r="R95" i="18" l="1"/>
  <c r="P95" i="18"/>
  <c r="Q95" i="18" s="1"/>
  <c r="P96" i="18" l="1"/>
  <c r="Q96" i="18" s="1"/>
  <c r="R96" i="18" s="1"/>
  <c r="P97" i="18" l="1"/>
  <c r="Q97" i="18" s="1"/>
  <c r="R97" i="18" s="1"/>
  <c r="R98" i="18" l="1"/>
  <c r="P98" i="18"/>
  <c r="Q98" i="18" s="1"/>
  <c r="P99" i="18" l="1"/>
  <c r="Q99" i="18" s="1"/>
  <c r="R99" i="18" s="1"/>
  <c r="P100" i="18" l="1"/>
  <c r="Q100" i="18" s="1"/>
  <c r="R100" i="18" s="1"/>
  <c r="P101" i="18" l="1"/>
  <c r="Q101" i="18" s="1"/>
  <c r="R101" i="18" s="1"/>
  <c r="R102" i="18" l="1"/>
  <c r="P102" i="18"/>
  <c r="Q102" i="18" s="1"/>
  <c r="R103" i="18" l="1"/>
  <c r="P103" i="18"/>
  <c r="Q103" i="18" s="1"/>
  <c r="P104" i="18" l="1"/>
  <c r="Q104" i="18" s="1"/>
  <c r="R104" i="18" s="1"/>
  <c r="P105" i="18" l="1"/>
  <c r="Q105" i="18" s="1"/>
  <c r="R105" i="18" s="1"/>
  <c r="P106" i="18" l="1"/>
  <c r="Q106" i="18" s="1"/>
  <c r="R106" i="18" s="1"/>
  <c r="P107" i="18" l="1"/>
  <c r="Q107" i="18" s="1"/>
  <c r="R107" i="18" s="1"/>
  <c r="P108" i="18" l="1"/>
  <c r="Q108" i="18" s="1"/>
  <c r="R108" i="18" s="1"/>
  <c r="P109" i="18" l="1"/>
  <c r="Q109" i="18" s="1"/>
  <c r="R109" i="18" s="1"/>
  <c r="P110" i="18" l="1"/>
  <c r="Q110" i="18" s="1"/>
  <c r="R110" i="18" s="1"/>
  <c r="P111" i="18" l="1"/>
  <c r="Q111" i="18" s="1"/>
  <c r="R111" i="18" s="1"/>
  <c r="R112" i="18" l="1"/>
  <c r="P112" i="18"/>
  <c r="Q112" i="18" s="1"/>
  <c r="P113" i="18" l="1"/>
  <c r="Q113" i="18" s="1"/>
  <c r="R113" i="18" s="1"/>
  <c r="P114" i="18" l="1"/>
  <c r="Q114" i="18" s="1"/>
  <c r="R114" i="18" s="1"/>
  <c r="P115" i="18" l="1"/>
  <c r="Q115" i="18" s="1"/>
  <c r="R115" i="18" s="1"/>
  <c r="P116" i="18" l="1"/>
  <c r="Q116" i="18" s="1"/>
  <c r="R116" i="18" s="1"/>
  <c r="P117" i="18" l="1"/>
  <c r="Q117" i="18" s="1"/>
  <c r="R117" i="18" s="1"/>
  <c r="P118" i="18" l="1"/>
  <c r="Q118" i="18" s="1"/>
  <c r="R118" i="18" s="1"/>
  <c r="P119" i="18" l="1"/>
  <c r="Q119" i="18" s="1"/>
  <c r="R119" i="18" s="1"/>
  <c r="P120" i="18" l="1"/>
  <c r="Q120" i="18" s="1"/>
  <c r="R120" i="18" s="1"/>
  <c r="P121" i="18" l="1"/>
  <c r="Q121" i="18" s="1"/>
  <c r="R121" i="18" s="1"/>
  <c r="R122" i="18" l="1"/>
  <c r="P122" i="18"/>
  <c r="Q122" i="18" s="1"/>
  <c r="P123" i="18" l="1"/>
  <c r="Q123" i="18" s="1"/>
  <c r="R123" i="18" s="1"/>
  <c r="P124" i="18" l="1"/>
  <c r="Q124" i="18" s="1"/>
  <c r="R124" i="18" s="1"/>
  <c r="P125" i="18" l="1"/>
  <c r="Q125" i="18" s="1"/>
  <c r="R125" i="18" s="1"/>
  <c r="P126" i="18" l="1"/>
  <c r="Q126" i="18" s="1"/>
  <c r="R126" i="18" s="1"/>
  <c r="P127" i="18" l="1"/>
  <c r="Q127" i="18" s="1"/>
  <c r="R127" i="18" s="1"/>
  <c r="P128" i="18" l="1"/>
  <c r="Q128" i="18" s="1"/>
  <c r="R128" i="18" s="1"/>
  <c r="P129" i="18" l="1"/>
  <c r="Q129" i="18" s="1"/>
  <c r="R129" i="18" s="1"/>
  <c r="Q130" i="18" l="1"/>
  <c r="R130" i="18" s="1"/>
</calcChain>
</file>

<file path=xl/sharedStrings.xml><?xml version="1.0" encoding="utf-8"?>
<sst xmlns="http://schemas.openxmlformats.org/spreadsheetml/2006/main" count="773" uniqueCount="357">
  <si>
    <t>Total</t>
  </si>
  <si>
    <t>Detalle</t>
  </si>
  <si>
    <t>Fecha</t>
  </si>
  <si>
    <t>Debe</t>
  </si>
  <si>
    <t>Haber</t>
  </si>
  <si>
    <t>-</t>
  </si>
  <si>
    <t>N°</t>
  </si>
  <si>
    <t>NIIF</t>
  </si>
  <si>
    <t>SII</t>
  </si>
  <si>
    <t>Diferencias</t>
  </si>
  <si>
    <t>Activos</t>
  </si>
  <si>
    <t>Pasivos</t>
  </si>
  <si>
    <t>Impuesto a la Renta</t>
  </si>
  <si>
    <t>Nombre:</t>
  </si>
  <si>
    <t>Efectivo y equivalente Ef.</t>
  </si>
  <si>
    <t>Otros Pasivos financieros</t>
  </si>
  <si>
    <t>Caja</t>
  </si>
  <si>
    <t>Banco</t>
  </si>
  <si>
    <t>Cuentas por pagar</t>
  </si>
  <si>
    <t>Deudores Comerciales</t>
  </si>
  <si>
    <t>Proveedores</t>
  </si>
  <si>
    <t>Clientes</t>
  </si>
  <si>
    <t xml:space="preserve">Prov. Vacaciones </t>
  </si>
  <si>
    <t>Deterioro Cuentas por Cobrar</t>
  </si>
  <si>
    <t>Prov. Contrato de Arriendo</t>
  </si>
  <si>
    <t>Inventarios</t>
  </si>
  <si>
    <t>Otras Provisiones</t>
  </si>
  <si>
    <t>Existencias</t>
  </si>
  <si>
    <t xml:space="preserve">Activos por Impuestos </t>
  </si>
  <si>
    <t>PPM</t>
  </si>
  <si>
    <t>Provisión Juicios</t>
  </si>
  <si>
    <t>Total Activos Corrientes</t>
  </si>
  <si>
    <t>Beneficios a los empleados</t>
  </si>
  <si>
    <t>PIAS</t>
  </si>
  <si>
    <t>Provisión Gratificaciones</t>
  </si>
  <si>
    <t>Propiedades Plantas y Eq.</t>
  </si>
  <si>
    <t>Total Pasivos Corrientes</t>
  </si>
  <si>
    <t>Edificios</t>
  </si>
  <si>
    <t>Impuestos Diferidos</t>
  </si>
  <si>
    <t>Dep. Acum Edificios</t>
  </si>
  <si>
    <t>Pasivos por diferidos</t>
  </si>
  <si>
    <t>Terrenos</t>
  </si>
  <si>
    <t>Total Pasivos no Corrientes</t>
  </si>
  <si>
    <t>Capital</t>
  </si>
  <si>
    <t>Otras Reservas</t>
  </si>
  <si>
    <t>Resultados Acumulados</t>
  </si>
  <si>
    <t>Activos por diferidos</t>
  </si>
  <si>
    <t>Utilidad del ejercicio</t>
  </si>
  <si>
    <t>Total Activos no Corrientes</t>
  </si>
  <si>
    <t>Utilidad ant. de Impuesto</t>
  </si>
  <si>
    <t>VA</t>
  </si>
  <si>
    <t>=</t>
  </si>
  <si>
    <t>+</t>
  </si>
  <si>
    <t>Octubre</t>
  </si>
  <si>
    <t>Noviembre</t>
  </si>
  <si>
    <t>Diciembre</t>
  </si>
  <si>
    <t>Patrimonio</t>
  </si>
  <si>
    <t>RUT</t>
  </si>
  <si>
    <t>Neto</t>
  </si>
  <si>
    <t>Tributario</t>
  </si>
  <si>
    <t>Otros Activos Financieros</t>
  </si>
  <si>
    <t>Forward</t>
  </si>
  <si>
    <t>Acciones CCU</t>
  </si>
  <si>
    <t>Balance Clasificado al 31.12.2023</t>
  </si>
  <si>
    <t>Mes</t>
  </si>
  <si>
    <t>Valor Futuro</t>
  </si>
  <si>
    <t>Spot</t>
  </si>
  <si>
    <t>MTM</t>
  </si>
  <si>
    <t>31.12.2023</t>
  </si>
  <si>
    <t>Diferencial</t>
  </si>
  <si>
    <t>Monto</t>
  </si>
  <si>
    <t>Pactado</t>
  </si>
  <si>
    <t>Glosa: Actualización Forward Financiero</t>
  </si>
  <si>
    <t>Glosa: Actualización Forward Tributario</t>
  </si>
  <si>
    <t xml:space="preserve">Acciones Lan </t>
  </si>
  <si>
    <t>Acciones</t>
  </si>
  <si>
    <t>Intención</t>
  </si>
  <si>
    <t>Negociar</t>
  </si>
  <si>
    <t>Disponibles para la Venta</t>
  </si>
  <si>
    <t>Detalle Financiero</t>
  </si>
  <si>
    <t>Valor Bolsa</t>
  </si>
  <si>
    <t>Adquisición 31.12.2022</t>
  </si>
  <si>
    <t>Detalle Tributario</t>
  </si>
  <si>
    <t>VIPC</t>
  </si>
  <si>
    <t>15% anual</t>
  </si>
  <si>
    <t>Glosa: Actualización Acciones CCU Financiero</t>
  </si>
  <si>
    <t>Glosa: Actualización Acciones CCU Tributario</t>
  </si>
  <si>
    <t>Contable 31.12.2022</t>
  </si>
  <si>
    <t>Glosa: Actualización Acciones Lan Financiero</t>
  </si>
  <si>
    <t>Glosa: Actualización Acciones Lan Tributario</t>
  </si>
  <si>
    <t>Financiero</t>
  </si>
  <si>
    <t>31.12.2020</t>
  </si>
  <si>
    <t>31.12.2021</t>
  </si>
  <si>
    <t>31.12.2022</t>
  </si>
  <si>
    <t>Vencimiento</t>
  </si>
  <si>
    <t>10.12.2022</t>
  </si>
  <si>
    <t>15.12.2022</t>
  </si>
  <si>
    <t>15.01.2024</t>
  </si>
  <si>
    <t>20.02.2024</t>
  </si>
  <si>
    <t>20.12.2023</t>
  </si>
  <si>
    <t>26.03.2023</t>
  </si>
  <si>
    <t>20.04.2023</t>
  </si>
  <si>
    <t>30.08.2023</t>
  </si>
  <si>
    <t>Unidades</t>
  </si>
  <si>
    <t>Precio Compra</t>
  </si>
  <si>
    <t>Saldos</t>
  </si>
  <si>
    <t>Observaciones</t>
  </si>
  <si>
    <t>Entradas</t>
  </si>
  <si>
    <t>Salidas</t>
  </si>
  <si>
    <t>Saldo</t>
  </si>
  <si>
    <t>Ejercicio Anterior</t>
  </si>
  <si>
    <t>Compra 15.03</t>
  </si>
  <si>
    <t>Venta 15.04</t>
  </si>
  <si>
    <t>Compra 30.05</t>
  </si>
  <si>
    <t>Venta 01.06</t>
  </si>
  <si>
    <t>Compra 16.06</t>
  </si>
  <si>
    <t>Venta 17.09</t>
  </si>
  <si>
    <t>Venta 12.12</t>
  </si>
  <si>
    <t>Venta 31.12</t>
  </si>
  <si>
    <t>Ejercicio NIC 2 (VIPC anual 15%, VIPC 2do semestre 7%)</t>
  </si>
  <si>
    <t>PMP</t>
  </si>
  <si>
    <t>información</t>
  </si>
  <si>
    <t>e) La provisión gratificaciones es voluntaria</t>
  </si>
  <si>
    <t>Las provisiones que se generaron el año 2023 tienen el siguiente detalle</t>
  </si>
  <si>
    <t>Imponible</t>
  </si>
  <si>
    <t>Promedio</t>
  </si>
  <si>
    <t>Valor Diario</t>
  </si>
  <si>
    <t>Meses</t>
  </si>
  <si>
    <t>Origen</t>
  </si>
  <si>
    <t>Probabilidad de Ocurrencia</t>
  </si>
  <si>
    <t>10.000-2</t>
  </si>
  <si>
    <t>Demanda Civil</t>
  </si>
  <si>
    <t>11.000-4</t>
  </si>
  <si>
    <t>18.000-3</t>
  </si>
  <si>
    <t>17.000-4</t>
  </si>
  <si>
    <t>21.000-k</t>
  </si>
  <si>
    <t>Costos y Reajustes</t>
  </si>
  <si>
    <t>Total Juicios</t>
  </si>
  <si>
    <t>i) La sociedad tiene el siguiente detalle de juicios:</t>
  </si>
  <si>
    <t>Luz</t>
  </si>
  <si>
    <t>Agua</t>
  </si>
  <si>
    <t>Celular</t>
  </si>
  <si>
    <t>vencimiento</t>
  </si>
  <si>
    <t>Periodo</t>
  </si>
  <si>
    <t>Días Devengados</t>
  </si>
  <si>
    <t>Valor</t>
  </si>
  <si>
    <t>Fono</t>
  </si>
  <si>
    <t>Remuneración</t>
  </si>
  <si>
    <t>Arriendo</t>
  </si>
  <si>
    <t>Repuestos</t>
  </si>
  <si>
    <t>N/A</t>
  </si>
  <si>
    <t>Acreedores</t>
  </si>
  <si>
    <t>PreviRed por Pagar</t>
  </si>
  <si>
    <t>UF</t>
  </si>
  <si>
    <t>Ejercicio Arriendo Financiero</t>
  </si>
  <si>
    <t>Contrato 30 noviembre de 2023</t>
  </si>
  <si>
    <t>Maquinaria</t>
  </si>
  <si>
    <t>Agosto</t>
  </si>
  <si>
    <t>Valor Cuota</t>
  </si>
  <si>
    <t>Septiembre</t>
  </si>
  <si>
    <t>N° de cuotas</t>
  </si>
  <si>
    <t>10 años</t>
  </si>
  <si>
    <t>Pago Cuota Inicial</t>
  </si>
  <si>
    <t>Opción de Compra</t>
  </si>
  <si>
    <t>Vida Útil</t>
  </si>
  <si>
    <t>años</t>
  </si>
  <si>
    <t>Cuota</t>
  </si>
  <si>
    <t>Interes</t>
  </si>
  <si>
    <t>Amort</t>
  </si>
  <si>
    <t>Tasa de Interes anual</t>
  </si>
  <si>
    <t>((1+i)^(1/12))-1</t>
  </si>
  <si>
    <t>Valor del activo</t>
  </si>
  <si>
    <t>Valor descontado</t>
  </si>
  <si>
    <t>Cuota Inicial</t>
  </si>
  <si>
    <t>Cuotas</t>
  </si>
  <si>
    <t>x</t>
  </si>
  <si>
    <r>
      <t>((1+i)^n)</t>
    </r>
    <r>
      <rPr>
        <sz val="13"/>
        <color rgb="FFFF0000"/>
        <rFont val="Georgia"/>
        <family val="1"/>
      </rPr>
      <t>-1</t>
    </r>
  </si>
  <si>
    <t>(i)(1+i)^n</t>
  </si>
  <si>
    <t>(1+i)^(n+1)</t>
  </si>
  <si>
    <t>Factura</t>
  </si>
  <si>
    <t>30.11</t>
  </si>
  <si>
    <t>IVA</t>
  </si>
  <si>
    <t>Bruto</t>
  </si>
  <si>
    <t>Glosa: contrato de arrendamiento</t>
  </si>
  <si>
    <t>diferencia</t>
  </si>
  <si>
    <t>31.12</t>
  </si>
  <si>
    <t>Depreciación de los Activos en leasing</t>
  </si>
  <si>
    <t>La cuota de diciembre se paga en enero</t>
  </si>
  <si>
    <t>Activos por derechos de uso</t>
  </si>
  <si>
    <t>Activo por derechos de uso</t>
  </si>
  <si>
    <t>Depreciación</t>
  </si>
  <si>
    <t>Utilizada</t>
  </si>
  <si>
    <t>Acumulada</t>
  </si>
  <si>
    <t>Av Quatro esquina 690, La Serena</t>
  </si>
  <si>
    <t>Total La Serena</t>
  </si>
  <si>
    <t>Edificaciones</t>
  </si>
  <si>
    <t>Jorge Washington 2675, Antofagasta</t>
  </si>
  <si>
    <t>Total Antofagasta</t>
  </si>
  <si>
    <t>Valor Residual</t>
  </si>
  <si>
    <t>Tasado</t>
  </si>
  <si>
    <t>Los siguientes son los datos a considerar en la Tasación de los activos al 31.12.2023</t>
  </si>
  <si>
    <t>Corrección Monetaria 15%</t>
  </si>
  <si>
    <t>Detalle de activo fijo tributario al 31.12.2023</t>
  </si>
  <si>
    <t>Detalle de activo fijo financiero 31.12.2023</t>
  </si>
  <si>
    <t>Inversiones Relacionadas</t>
  </si>
  <si>
    <t>Inversión Relacionada B&amp;N</t>
  </si>
  <si>
    <t>F29 por Pagar</t>
  </si>
  <si>
    <t>Gastos de Organización y Puesta en Marcha</t>
  </si>
  <si>
    <t>Amortización Gastos de Organización</t>
  </si>
  <si>
    <t>Corrección Monetaria anual 15% VIPC 2do Semestre 7% Impuesto a la Renta 27%</t>
  </si>
  <si>
    <t>Utilidad ant. Imp. 2022</t>
  </si>
  <si>
    <t>Utilidad ant. Imp. 2021</t>
  </si>
  <si>
    <t>Total Activos</t>
  </si>
  <si>
    <t>Total Pasivos</t>
  </si>
  <si>
    <t>Total de Ingresos</t>
  </si>
  <si>
    <t>k) El detalle de las facturas de compra encontradas en el 2024 con respecto al 2023 es la siguiente, evalúe su provisión:</t>
  </si>
  <si>
    <t>l) Se venden productos con garantía, al 31 de diciembre de 2023 las ventas fueron de $900.000.000, según la información proporcionada el gasto incurrido en la garantía de los productos vendidos en años anteriores fue el siguiente en cada año (nunca se generó provisión por este concepto):</t>
  </si>
  <si>
    <t>Totales</t>
  </si>
  <si>
    <t>c) Provisión Contrato de arriendo (Son arriendos del 2023 que no se pagaron, se espera pagar en el año 2024).</t>
  </si>
  <si>
    <t>Devengar los intereses diciembre</t>
  </si>
  <si>
    <t>Actualizar diciembre</t>
  </si>
  <si>
    <t>Pago de cuota mes de diciembre</t>
  </si>
  <si>
    <t>Ajuste Real Balance</t>
  </si>
  <si>
    <t>Se adjunta el detalle de clientes 2023 y la matriz de riesgo correspondiente (aplique resolución Ex SII N°121 para el castigo tributario)</t>
  </si>
  <si>
    <t>1) La entidad tiene una pérdida tributaria del año anterior por $95.000.000 y este año según RLI, una utilidad de $21.500.000.- sin considerar la pérdida del año anterior</t>
  </si>
  <si>
    <t>Enero</t>
  </si>
  <si>
    <t>Febrero</t>
  </si>
  <si>
    <t>Marzo</t>
  </si>
  <si>
    <t>Abril</t>
  </si>
  <si>
    <t>Mayo</t>
  </si>
  <si>
    <t>Junio</t>
  </si>
  <si>
    <t>Julio</t>
  </si>
  <si>
    <t>Despachado</t>
  </si>
  <si>
    <t>2) La sociedad en el mes año 2023 género las siguientes ventas (con el siguiente detalle):</t>
  </si>
  <si>
    <t>CM</t>
  </si>
  <si>
    <t>Actualizado</t>
  </si>
  <si>
    <t>Amortización</t>
  </si>
  <si>
    <t>3) La sociedad genero gastos de Organización y Puesta en Marcha el 2021, el cual se amortiza en 6 años.</t>
  </si>
  <si>
    <t xml:space="preserve">Carlos Filgueira </t>
  </si>
  <si>
    <t xml:space="preserve">Audrey Arbelo </t>
  </si>
  <si>
    <t xml:space="preserve">Hans Otth </t>
  </si>
  <si>
    <t>Aurora Filgueira</t>
  </si>
  <si>
    <t>Paulina Ulloa</t>
  </si>
  <si>
    <t>Javiera Filgueira</t>
  </si>
  <si>
    <t>Marjorie Filgueira</t>
  </si>
  <si>
    <t>Maxi Ramos</t>
  </si>
  <si>
    <t>a) La provisión Indemnización años de servicios son a todo evento</t>
  </si>
  <si>
    <t>d) EEUU y China tienen conflicto por Taiwán lo que genera un bloqueo de importaciones de tecnología, lo que se estima en unas pérdidas futuras para la compañía por $55.000.000 con una probabilidad del 95%, no se tiene registrado por lo cual evalue la provisión.</t>
  </si>
  <si>
    <t>Provisión Reestructuración</t>
  </si>
  <si>
    <t xml:space="preserve">f) El 31 de octubre del año 2023, gerencia tomó la decisión de cerrar un departamento.   
El 20 de diciembre del mismo año gerencia informo un plan detallado; el cual tiene detallado el despido de las personas del departamento que se ejecutara entre los meses de junio y julio del próximo año, la estimación por costos de reestructuración es de $35.000.000. </t>
  </si>
  <si>
    <t xml:space="preserve">g)	La sociedad, recibe información por parte de los brasileños de su sistema “Quake Red Alert” con una certeza comprobada de un 90% un sismo que generará un daño por $25.000.000. </t>
  </si>
  <si>
    <t>h) La sociedad tiene un contrato vigente de ventas de existencias por un valor de $62.000.000 con entrega el 10 de marzo del siguiente año, al 31 de diciembre y por distintas circunstancias la entidad estima que el costo de cumplir el contrato es de $93.000.000, por el conflicto de EEUU con China, se evalúa generar una provisión por contrato oneroso, para no afectar el siguiente año.</t>
  </si>
  <si>
    <t>j) La sociedad, recibe información al cierre de los estados financieros, por parte del experto en NIIF (mundialmente conocido), Carlos Filgueira Ramos, que la nueva norma de provisiones que se aplica el año 2028 tiene un impacto en los estados financieros por $150.000.000 con una probabilidad del 99%, ya que se debe generar proviciones por las demandas que tengan una probabilidad de ocurrencia por sobre 45%</t>
  </si>
  <si>
    <t>18.01.2024</t>
  </si>
  <si>
    <t>13.01.2024</t>
  </si>
  <si>
    <t>10.01.2024</t>
  </si>
  <si>
    <t>12.12.2023 al 10.01.2024</t>
  </si>
  <si>
    <t>17.12.2023 al 14.01.2024</t>
  </si>
  <si>
    <t>22.12.2023 al 19.01.2024</t>
  </si>
  <si>
    <t>05.12.2023 al 02.01.2024</t>
  </si>
  <si>
    <t>m) La entidad en mayo, del próximo año debe cancelar por conceptos medioambientales al estado el 5% de las ventas generadas en el año, la entidad genero ventas por $900.000.000, el experto tributario sugiere no contabilizar ya que el devengo se realiza el pago en el 2024</t>
  </si>
  <si>
    <t>Provisión Catastrofe</t>
  </si>
  <si>
    <t>Auditoria</t>
  </si>
  <si>
    <t>Bce</t>
  </si>
  <si>
    <t>Activo</t>
  </si>
  <si>
    <t>Pasivo</t>
  </si>
  <si>
    <t>Gasto</t>
  </si>
  <si>
    <t>Obligaciones por derechos de uso</t>
  </si>
  <si>
    <t>Dep. Acum derechos de uso</t>
  </si>
  <si>
    <t>Intereses</t>
  </si>
  <si>
    <t>Cuenta</t>
  </si>
  <si>
    <t>Nombre de cuenta</t>
  </si>
  <si>
    <t>1 a 90</t>
  </si>
  <si>
    <t>Por Vencer</t>
  </si>
  <si>
    <t>91 a 180</t>
  </si>
  <si>
    <t>181 a 365</t>
  </si>
  <si>
    <t>Más de 1 año</t>
  </si>
  <si>
    <t>$</t>
  </si>
  <si>
    <t>Utilidad antes de Impuesto</t>
  </si>
  <si>
    <t>Total de Activos</t>
  </si>
  <si>
    <t>Materialidad para efectos de planificación al 31 de diciembre de 2022 (5 puntos)</t>
  </si>
  <si>
    <t>Base</t>
  </si>
  <si>
    <t>Materialidad (MP)</t>
  </si>
  <si>
    <t>Utilidad Antes de Impuesto</t>
  </si>
  <si>
    <t>Total de Ingresos de Explotación</t>
  </si>
  <si>
    <t xml:space="preserve">Explicación de la decisión en la determinación de la Materialidad
</t>
  </si>
  <si>
    <r>
      <t xml:space="preserve">i. </t>
    </r>
    <r>
      <rPr>
        <b/>
        <u/>
        <sz val="12"/>
        <color theme="1"/>
        <rFont val="Georgia"/>
        <family val="1"/>
      </rPr>
      <t>Límite de error tolerable (2,5 puntos)</t>
    </r>
  </si>
  <si>
    <t>%</t>
  </si>
  <si>
    <t>LET</t>
  </si>
  <si>
    <t>Materialidad</t>
  </si>
  <si>
    <r>
      <t xml:space="preserve">i. </t>
    </r>
    <r>
      <rPr>
        <b/>
        <u/>
        <sz val="12"/>
        <color theme="1"/>
        <rFont val="Georgia"/>
        <family val="1"/>
      </rPr>
      <t>Umbral de error tolerable (2,5 puntos)</t>
    </r>
  </si>
  <si>
    <t>Usted es el encargado de auditoría del año 2023, donde debe efectuar el cálculo de la materialidad (sugerir, imponer o guardar en los papeles de trabajo los ajustes contables según la materialidad obtenida), la información que dispone es la siguiente:</t>
  </si>
  <si>
    <t>Balance</t>
  </si>
  <si>
    <t>Auditoría</t>
  </si>
  <si>
    <t>Ajuste</t>
  </si>
  <si>
    <t xml:space="preserve">Pauta </t>
  </si>
  <si>
    <t>Por tener utilidades constantes en los últimos 3 años, se toma en consideración la utilidad antes de impuesto para la materialidad</t>
  </si>
  <si>
    <t>Pérdida Tributaria 2022</t>
  </si>
  <si>
    <t>CM 15%</t>
  </si>
  <si>
    <t>Pérdida Actualizada</t>
  </si>
  <si>
    <t>RLI 2023</t>
  </si>
  <si>
    <t xml:space="preserve">Utilidad </t>
  </si>
  <si>
    <t>Pérdida Tributaria</t>
  </si>
  <si>
    <t>Facturación sin entrega</t>
  </si>
  <si>
    <t>Ingresos Anticipados</t>
  </si>
  <si>
    <r>
      <t xml:space="preserve">b) Provisión Vacaciones </t>
    </r>
    <r>
      <rPr>
        <sz val="11"/>
        <color rgb="FFFF0000"/>
        <rFont val="Georgia"/>
        <family val="1"/>
      </rPr>
      <t>$5.300.000, corresponden al año anterior (dar de baja contra las remuneraciones del ejercicio)</t>
    </r>
    <r>
      <rPr>
        <sz val="11"/>
        <color theme="1"/>
        <rFont val="Georgia"/>
        <family val="1"/>
      </rPr>
      <t xml:space="preserve"> y recalcular para el año 2023.</t>
    </r>
  </si>
  <si>
    <t>Resultado</t>
  </si>
  <si>
    <t>Remuneraciones</t>
  </si>
  <si>
    <t>Glosa: eliminación de provisión vacaciones usadas en el año</t>
  </si>
  <si>
    <t>Se debe proponer ajuste contable por estar por debajo del LET y por sobre el UET</t>
  </si>
  <si>
    <t>Vacaciones</t>
  </si>
  <si>
    <t>Glosa: calculo de vacaciones 2023</t>
  </si>
  <si>
    <t>UET</t>
  </si>
  <si>
    <t>Sin Ajuste contable</t>
  </si>
  <si>
    <t>Reestructuración</t>
  </si>
  <si>
    <t>Glosa: elimnación de provisión por no cumplir con la NIC 37</t>
  </si>
  <si>
    <t>Obligación de generar el ajuste contable por estar por sobre la materialidad</t>
  </si>
  <si>
    <t>No hay ajuste contable</t>
  </si>
  <si>
    <t>Provisión por Contrato Oneroso</t>
  </si>
  <si>
    <t>Contrato Oneroso</t>
  </si>
  <si>
    <t>Glosa: ajuste por contrato</t>
  </si>
  <si>
    <t>Juicios</t>
  </si>
  <si>
    <t>Glosa: ajuste de juicios, según la probabilidad de ocurrencia</t>
  </si>
  <si>
    <t>Sin ajuste contable</t>
  </si>
  <si>
    <t>Provisión Gastos Generales</t>
  </si>
  <si>
    <t>Gastos básicos</t>
  </si>
  <si>
    <t>Glosa: ajustes por pasivos no registrados</t>
  </si>
  <si>
    <t>Provisión Tipo Comercial</t>
  </si>
  <si>
    <t>Garantías</t>
  </si>
  <si>
    <t>Glosa: ajustes garantías no registradas</t>
  </si>
  <si>
    <t>Provisión Medioambiental</t>
  </si>
  <si>
    <t>Glosa: cambio de nombre provisión</t>
  </si>
  <si>
    <t>BCE</t>
  </si>
  <si>
    <t>Deterioro Terrenos</t>
  </si>
  <si>
    <t>Glosa: ajuste terrenos por tasación</t>
  </si>
  <si>
    <t>Glosa: ajuste por tasación edificios</t>
  </si>
  <si>
    <t>IVA CF</t>
  </si>
  <si>
    <t>Glosa: ajuste Leasing NIIF 16</t>
  </si>
  <si>
    <t>Se propone el ajuste contable por estar por sobre el LET y por debajo de la Materialidad</t>
  </si>
  <si>
    <r>
      <rPr>
        <b/>
        <sz val="11"/>
        <color theme="1"/>
        <rFont val="Georgia"/>
        <family val="1"/>
      </rPr>
      <t>Forward USD</t>
    </r>
    <r>
      <rPr>
        <sz val="11"/>
        <color theme="1"/>
        <rFont val="Georgia"/>
        <family val="1"/>
      </rPr>
      <t xml:space="preserve">
El Colegio de Contadores de Chile A.G., al 30.06.2023, acuerda con el Banco Santander al cabo de 9 meses intercambiar monedas fijado en un contrato, en lo cual se señala lo siguiente:
El Colegio de Contadores de Chile A.G. comprará USD 1.000.000 </t>
    </r>
    <r>
      <rPr>
        <sz val="11"/>
        <color rgb="FFFF0000"/>
        <rFont val="Georgia"/>
        <family val="1"/>
      </rPr>
      <t>al banco por un tipo de cambio de $840</t>
    </r>
    <r>
      <rPr>
        <sz val="11"/>
        <color theme="1"/>
        <rFont val="Georgia"/>
        <family val="1"/>
      </rPr>
      <t xml:space="preserve"> al 30.03.2024, el cual se liquidará en esa fecha.</t>
    </r>
  </si>
  <si>
    <t>Ganancia</t>
  </si>
  <si>
    <t>Ganancia de Valor Razonable</t>
  </si>
  <si>
    <t>Ganancia MTM</t>
  </si>
  <si>
    <t>Jul- Sept</t>
  </si>
  <si>
    <t>En - Jun</t>
  </si>
  <si>
    <t>Oct - Dic</t>
  </si>
  <si>
    <t>TR 1</t>
  </si>
  <si>
    <t>TR 2</t>
  </si>
  <si>
    <t>TR 3</t>
  </si>
  <si>
    <t>Ajuste por Deterioro</t>
  </si>
  <si>
    <t>Deterioro CxC</t>
  </si>
  <si>
    <t>Corrección Monetaria</t>
  </si>
  <si>
    <t>Precio de compra más alto</t>
  </si>
  <si>
    <t>Valor Actualizado</t>
  </si>
  <si>
    <t>Valor tributario</t>
  </si>
  <si>
    <t>Diferencia</t>
  </si>
  <si>
    <t>Glosa: ajuste NIC 12 diferidos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</si>
</sst>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 #,##0.00_ ;_ * \-#,##0.00_ ;_ * &quot;-&quot;_ ;_ @_ "/>
    <numFmt numFmtId="165" formatCode="_ * #,##0.0000_ ;_ * \-#,##0.0000_ ;_ * &quot;-&quot;_ ;_ @_ "/>
    <numFmt numFmtId="166" formatCode="0.0000"/>
    <numFmt numFmtId="167" formatCode="_ * #,##0_ ;_ * \-#,##0_ ;_ * &quot;-&quot;??_ ;_ @_ "/>
  </numFmts>
  <fonts count="31" x14ac:knownFonts="1">
    <font>
      <sz val="11"/>
      <color theme="1"/>
      <name val="Calibri"/>
      <family val="2"/>
      <scheme val="minor"/>
    </font>
    <font>
      <sz val="11"/>
      <color theme="1"/>
      <name val="Calibri"/>
      <family val="2"/>
      <scheme val="minor"/>
    </font>
    <font>
      <b/>
      <sz val="12"/>
      <color theme="1"/>
      <name val="Georgia"/>
      <family val="1"/>
    </font>
    <font>
      <sz val="12"/>
      <color theme="1"/>
      <name val="Georgia"/>
      <family val="1"/>
    </font>
    <font>
      <b/>
      <sz val="10"/>
      <color theme="1"/>
      <name val="Georgia"/>
      <family val="1"/>
    </font>
    <font>
      <sz val="10"/>
      <color theme="1"/>
      <name val="Georgia"/>
      <family val="1"/>
    </font>
    <font>
      <sz val="13"/>
      <color theme="1"/>
      <name val="Georgia"/>
      <family val="1"/>
    </font>
    <font>
      <b/>
      <sz val="13"/>
      <color theme="1"/>
      <name val="Georgia"/>
      <family val="1"/>
    </font>
    <font>
      <b/>
      <sz val="11"/>
      <color theme="1"/>
      <name val="Georgia"/>
      <family val="1"/>
    </font>
    <font>
      <sz val="11"/>
      <color theme="1"/>
      <name val="Georgia"/>
      <family val="1"/>
    </font>
    <font>
      <sz val="12"/>
      <color rgb="FF000000"/>
      <name val="Georgia"/>
      <family val="1"/>
    </font>
    <font>
      <sz val="11"/>
      <color rgb="FFFF0000"/>
      <name val="Georgia"/>
      <family val="1"/>
    </font>
    <font>
      <b/>
      <sz val="12"/>
      <color rgb="FF000000"/>
      <name val="Georgia"/>
      <family val="1"/>
    </font>
    <font>
      <sz val="13"/>
      <color rgb="FFFF0000"/>
      <name val="Georgia"/>
      <family val="1"/>
    </font>
    <font>
      <sz val="13"/>
      <color rgb="FF0000FF"/>
      <name val="Georgia"/>
      <family val="1"/>
    </font>
    <font>
      <sz val="12"/>
      <color rgb="FFFF0000"/>
      <name val="Georgia"/>
      <family val="1"/>
    </font>
    <font>
      <sz val="13"/>
      <color theme="0"/>
      <name val="Georgia"/>
      <family val="1"/>
    </font>
    <font>
      <b/>
      <sz val="13"/>
      <color rgb="FF7030A0"/>
      <name val="Georgia"/>
      <family val="1"/>
    </font>
    <font>
      <sz val="11"/>
      <name val="Georgia"/>
      <family val="1"/>
    </font>
    <font>
      <b/>
      <u/>
      <sz val="11"/>
      <name val="Georgia"/>
      <family val="1"/>
    </font>
    <font>
      <b/>
      <sz val="11"/>
      <name val="Georgia"/>
      <family val="1"/>
    </font>
    <font>
      <sz val="13"/>
      <name val="Georgia"/>
      <family val="1"/>
    </font>
    <font>
      <sz val="11"/>
      <name val="Calibri"/>
      <family val="2"/>
      <scheme val="minor"/>
    </font>
    <font>
      <sz val="10"/>
      <color rgb="FFFF0000"/>
      <name val="Georgia"/>
      <family val="1"/>
    </font>
    <font>
      <b/>
      <sz val="11"/>
      <color rgb="FF000000"/>
      <name val="Georgia"/>
      <family val="1"/>
    </font>
    <font>
      <sz val="11"/>
      <color rgb="FF000000"/>
      <name val="Georgia"/>
      <family val="1"/>
    </font>
    <font>
      <sz val="15"/>
      <color theme="1"/>
      <name val="Georgia"/>
      <family val="1"/>
    </font>
    <font>
      <sz val="8"/>
      <name val="Calibri"/>
      <family val="2"/>
      <scheme val="minor"/>
    </font>
    <font>
      <b/>
      <sz val="12"/>
      <name val="Georgia"/>
      <family val="1"/>
    </font>
    <font>
      <sz val="12"/>
      <name val="Georgia"/>
      <family val="1"/>
    </font>
    <font>
      <b/>
      <u/>
      <sz val="12"/>
      <color theme="1"/>
      <name val="Georgia"/>
      <family val="1"/>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0" tint="-0.14999847407452621"/>
        <bgColor indexed="64"/>
      </patternFill>
    </fill>
    <fill>
      <patternFill patternType="solid">
        <fgColor rgb="FF0000FF"/>
        <bgColor indexed="64"/>
      </patternFill>
    </fill>
    <fill>
      <patternFill patternType="solid">
        <fgColor rgb="FFE7E6E6"/>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1" fontId="1" fillId="0" borderId="0" applyFont="0" applyFill="0" applyBorder="0" applyAlignment="0" applyProtection="0"/>
  </cellStyleXfs>
  <cellXfs count="596">
    <xf numFmtId="0" fontId="0" fillId="0" borderId="0" xfId="0"/>
    <xf numFmtId="0" fontId="2" fillId="2" borderId="1" xfId="0" applyFont="1" applyFill="1" applyBorder="1"/>
    <xf numFmtId="0" fontId="2" fillId="2" borderId="1" xfId="0" applyFont="1" applyFill="1" applyBorder="1" applyAlignment="1">
      <alignment horizontal="center"/>
    </xf>
    <xf numFmtId="0" fontId="3" fillId="3" borderId="0" xfId="0" applyFont="1" applyFill="1"/>
    <xf numFmtId="0" fontId="3" fillId="2" borderId="0" xfId="0" applyFont="1" applyFill="1"/>
    <xf numFmtId="0" fontId="3" fillId="2" borderId="0" xfId="0" applyFont="1" applyFill="1" applyAlignment="1">
      <alignment horizontal="center"/>
    </xf>
    <xf numFmtId="0" fontId="2" fillId="2" borderId="0" xfId="0" applyFont="1" applyFill="1"/>
    <xf numFmtId="0" fontId="2" fillId="2" borderId="2" xfId="0" applyFont="1" applyFill="1" applyBorder="1"/>
    <xf numFmtId="41" fontId="3" fillId="3" borderId="12" xfId="1" applyFont="1" applyFill="1" applyBorder="1"/>
    <xf numFmtId="41" fontId="3" fillId="3" borderId="10" xfId="1" applyFont="1" applyFill="1" applyBorder="1"/>
    <xf numFmtId="0" fontId="3" fillId="3" borderId="9" xfId="0" applyFont="1" applyFill="1" applyBorder="1"/>
    <xf numFmtId="41" fontId="2" fillId="2" borderId="1" xfId="1" applyFont="1" applyFill="1" applyBorder="1"/>
    <xf numFmtId="41" fontId="2" fillId="2" borderId="1" xfId="1" applyFont="1" applyFill="1" applyBorder="1" applyAlignment="1">
      <alignment horizontal="center"/>
    </xf>
    <xf numFmtId="41" fontId="3" fillId="2" borderId="0" xfId="1" applyFont="1" applyFill="1" applyBorder="1"/>
    <xf numFmtId="0" fontId="3" fillId="3" borderId="9" xfId="0" applyFont="1" applyFill="1" applyBorder="1" applyAlignment="1">
      <alignment horizontal="left"/>
    </xf>
    <xf numFmtId="0" fontId="9" fillId="3" borderId="0" xfId="0" applyFont="1" applyFill="1"/>
    <xf numFmtId="0" fontId="4"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0" xfId="0" applyFont="1" applyFill="1"/>
    <xf numFmtId="0" fontId="5" fillId="3" borderId="1" xfId="0" applyFont="1" applyFill="1" applyBorder="1"/>
    <xf numFmtId="0" fontId="9" fillId="0" borderId="0" xfId="0" applyFont="1"/>
    <xf numFmtId="0" fontId="9" fillId="0" borderId="14" xfId="0" applyFont="1" applyBorder="1" applyAlignment="1">
      <alignment horizontal="center"/>
    </xf>
    <xf numFmtId="0" fontId="9" fillId="0" borderId="15" xfId="0" applyFont="1" applyBorder="1" applyAlignment="1">
      <alignment horizontal="center"/>
    </xf>
    <xf numFmtId="0" fontId="9" fillId="0" borderId="17" xfId="0" applyFont="1" applyBorder="1" applyAlignment="1">
      <alignment horizontal="center"/>
    </xf>
    <xf numFmtId="0" fontId="9" fillId="0" borderId="6" xfId="0" applyFont="1" applyBorder="1"/>
    <xf numFmtId="0" fontId="9" fillId="0" borderId="11" xfId="0" applyFont="1" applyBorder="1"/>
    <xf numFmtId="0" fontId="9" fillId="0" borderId="5" xfId="0" applyFont="1" applyBorder="1"/>
    <xf numFmtId="0" fontId="9" fillId="0" borderId="4" xfId="0" applyFont="1" applyBorder="1"/>
    <xf numFmtId="0" fontId="8" fillId="5" borderId="7" xfId="0" applyFont="1" applyFill="1" applyBorder="1" applyAlignment="1">
      <alignment horizontal="center"/>
    </xf>
    <xf numFmtId="0" fontId="8" fillId="5" borderId="2" xfId="0" applyFont="1" applyFill="1" applyBorder="1" applyAlignment="1">
      <alignment horizontal="center"/>
    </xf>
    <xf numFmtId="0" fontId="8" fillId="5" borderId="3" xfId="0" applyFont="1" applyFill="1" applyBorder="1" applyAlignment="1">
      <alignment horizontal="center"/>
    </xf>
    <xf numFmtId="41" fontId="9" fillId="0" borderId="11" xfId="1" applyFont="1" applyBorder="1"/>
    <xf numFmtId="41" fontId="9" fillId="0" borderId="5" xfId="1" applyFont="1" applyBorder="1"/>
    <xf numFmtId="41" fontId="9" fillId="0" borderId="4" xfId="1" applyFont="1" applyBorder="1"/>
    <xf numFmtId="0" fontId="8" fillId="5" borderId="8"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9" fillId="0" borderId="12" xfId="0" applyFont="1" applyBorder="1"/>
    <xf numFmtId="0" fontId="9" fillId="0" borderId="9" xfId="0" applyFont="1" applyBorder="1"/>
    <xf numFmtId="0" fontId="9" fillId="0" borderId="10" xfId="0" applyFont="1" applyBorder="1"/>
    <xf numFmtId="0" fontId="9" fillId="0" borderId="16" xfId="0" applyFont="1" applyBorder="1"/>
    <xf numFmtId="41" fontId="9" fillId="0" borderId="12" xfId="0" applyNumberFormat="1" applyFont="1" applyBorder="1"/>
    <xf numFmtId="0" fontId="3" fillId="0" borderId="0" xfId="0" applyFont="1"/>
    <xf numFmtId="0" fontId="2" fillId="3" borderId="1" xfId="0" applyFont="1" applyFill="1" applyBorder="1" applyAlignment="1">
      <alignment horizontal="center" vertical="center" wrapText="1"/>
    </xf>
    <xf numFmtId="0" fontId="2" fillId="3" borderId="0" xfId="0" applyFont="1" applyFill="1" applyAlignment="1">
      <alignment vertical="center" wrapText="1"/>
    </xf>
    <xf numFmtId="0" fontId="10" fillId="3" borderId="1" xfId="0" applyFont="1" applyFill="1" applyBorder="1" applyAlignment="1">
      <alignment vertical="center" wrapText="1"/>
    </xf>
    <xf numFmtId="3" fontId="10" fillId="3" borderId="0" xfId="0" applyNumberFormat="1" applyFont="1" applyFill="1" applyAlignment="1">
      <alignment horizontal="right" vertical="center" wrapText="1"/>
    </xf>
    <xf numFmtId="0" fontId="3" fillId="0" borderId="1" xfId="0" applyFont="1" applyBorder="1"/>
    <xf numFmtId="41" fontId="10" fillId="3" borderId="1" xfId="1" applyFont="1" applyFill="1" applyBorder="1" applyAlignment="1">
      <alignment vertical="center" wrapText="1"/>
    </xf>
    <xf numFmtId="41" fontId="3" fillId="0" borderId="1" xfId="1" applyFont="1" applyBorder="1"/>
    <xf numFmtId="3" fontId="10" fillId="3" borderId="1" xfId="0" applyNumberFormat="1" applyFont="1" applyFill="1" applyBorder="1" applyAlignment="1">
      <alignment horizontal="center" vertical="center" wrapText="1"/>
    </xf>
    <xf numFmtId="41" fontId="10" fillId="3" borderId="1" xfId="1" applyFont="1" applyFill="1" applyBorder="1" applyAlignment="1">
      <alignment horizontal="right" vertical="center" wrapText="1"/>
    </xf>
    <xf numFmtId="0" fontId="2" fillId="3" borderId="0" xfId="0" applyFont="1" applyFill="1" applyAlignment="1">
      <alignment horizontal="center" vertical="center" wrapText="1"/>
    </xf>
    <xf numFmtId="0" fontId="10" fillId="3" borderId="0" xfId="0" applyFont="1" applyFill="1" applyAlignment="1">
      <alignment vertical="center" wrapText="1"/>
    </xf>
    <xf numFmtId="41" fontId="10" fillId="3" borderId="0" xfId="1" applyFont="1" applyFill="1" applyBorder="1" applyAlignment="1">
      <alignment vertical="center" wrapText="1"/>
    </xf>
    <xf numFmtId="41" fontId="3" fillId="0" borderId="0" xfId="1" applyFont="1" applyBorder="1"/>
    <xf numFmtId="0" fontId="2" fillId="3" borderId="20" xfId="0" applyFont="1" applyFill="1" applyBorder="1" applyAlignment="1">
      <alignment horizontal="center" vertical="center" wrapText="1"/>
    </xf>
    <xf numFmtId="0" fontId="10" fillId="3" borderId="21" xfId="0" applyFont="1" applyFill="1" applyBorder="1" applyAlignment="1">
      <alignment vertical="center" wrapText="1"/>
    </xf>
    <xf numFmtId="0" fontId="3" fillId="0" borderId="22" xfId="0" applyFont="1" applyBorder="1"/>
    <xf numFmtId="41" fontId="10" fillId="3" borderId="1" xfId="0" applyNumberFormat="1" applyFont="1" applyFill="1" applyBorder="1" applyAlignment="1">
      <alignment vertical="center" wrapText="1"/>
    </xf>
    <xf numFmtId="41" fontId="3" fillId="0" borderId="1" xfId="0" applyNumberFormat="1" applyFont="1" applyBorder="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3" xfId="0" applyFont="1" applyFill="1" applyBorder="1" applyAlignment="1">
      <alignment horizontal="center"/>
    </xf>
    <xf numFmtId="41" fontId="9" fillId="3" borderId="16" xfId="1" applyFont="1" applyFill="1" applyBorder="1"/>
    <xf numFmtId="41" fontId="9" fillId="3" borderId="12" xfId="1" applyFont="1" applyFill="1" applyBorder="1"/>
    <xf numFmtId="41" fontId="9" fillId="3" borderId="4" xfId="1" applyFont="1" applyFill="1" applyBorder="1"/>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4" xfId="0" applyFont="1" applyFill="1" applyBorder="1" applyAlignment="1">
      <alignment horizontal="right" vertical="center" wrapText="1"/>
    </xf>
    <xf numFmtId="3" fontId="9" fillId="3" borderId="5" xfId="0" applyNumberFormat="1" applyFont="1" applyFill="1" applyBorder="1" applyAlignment="1">
      <alignment horizontal="right" vertical="center" wrapText="1"/>
    </xf>
    <xf numFmtId="3" fontId="9" fillId="3" borderId="4" xfId="0" applyNumberFormat="1" applyFont="1" applyFill="1" applyBorder="1" applyAlignment="1">
      <alignment horizontal="right" vertical="center" wrapText="1"/>
    </xf>
    <xf numFmtId="0" fontId="8" fillId="3" borderId="4" xfId="0" applyFont="1" applyFill="1" applyBorder="1" applyAlignment="1">
      <alignment horizontal="right" vertical="center" wrapText="1"/>
    </xf>
    <xf numFmtId="3" fontId="8" fillId="3" borderId="5" xfId="0" applyNumberFormat="1" applyFont="1" applyFill="1" applyBorder="1" applyAlignment="1">
      <alignment horizontal="right" vertical="center" wrapText="1"/>
    </xf>
    <xf numFmtId="3" fontId="8" fillId="3" borderId="4" xfId="0" applyNumberFormat="1" applyFont="1" applyFill="1" applyBorder="1" applyAlignment="1">
      <alignment horizontal="right" vertical="center" wrapText="1"/>
    </xf>
    <xf numFmtId="41" fontId="8" fillId="3" borderId="2" xfId="0" applyNumberFormat="1" applyFont="1" applyFill="1" applyBorder="1"/>
    <xf numFmtId="41" fontId="11" fillId="3" borderId="0" xfId="1" applyFont="1" applyFill="1"/>
    <xf numFmtId="0" fontId="2" fillId="0" borderId="0" xfId="0" applyFont="1"/>
    <xf numFmtId="41" fontId="3" fillId="0" borderId="0" xfId="1" applyFont="1"/>
    <xf numFmtId="0" fontId="10" fillId="6" borderId="4" xfId="0" applyFont="1" applyFill="1" applyBorder="1" applyAlignment="1">
      <alignment vertical="center" wrapText="1"/>
    </xf>
    <xf numFmtId="0" fontId="10" fillId="6" borderId="5" xfId="0" applyFont="1" applyFill="1" applyBorder="1" applyAlignment="1">
      <alignment horizontal="center" vertical="center" wrapText="1"/>
    </xf>
    <xf numFmtId="41" fontId="10" fillId="6" borderId="5" xfId="1" applyFont="1" applyFill="1" applyBorder="1" applyAlignment="1">
      <alignment horizontal="right" vertical="center" wrapText="1"/>
    </xf>
    <xf numFmtId="41" fontId="10" fillId="6" borderId="5" xfId="1" applyFont="1" applyFill="1" applyBorder="1" applyAlignment="1">
      <alignment horizontal="center" vertical="center" wrapText="1"/>
    </xf>
    <xf numFmtId="164" fontId="10" fillId="6" borderId="5" xfId="1"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vertical="center" wrapText="1"/>
    </xf>
    <xf numFmtId="3" fontId="9" fillId="3" borderId="1" xfId="0" applyNumberFormat="1" applyFont="1" applyFill="1" applyBorder="1" applyAlignment="1">
      <alignment horizontal="right" vertical="center" wrapText="1"/>
    </xf>
    <xf numFmtId="9" fontId="9"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right" vertical="center" wrapText="1"/>
    </xf>
    <xf numFmtId="0" fontId="8" fillId="7" borderId="1" xfId="0" applyFont="1" applyFill="1" applyBorder="1" applyAlignment="1">
      <alignment horizontal="center" vertical="center" wrapText="1"/>
    </xf>
    <xf numFmtId="0" fontId="9" fillId="3" borderId="12" xfId="0" applyFont="1" applyFill="1" applyBorder="1"/>
    <xf numFmtId="0" fontId="9" fillId="3" borderId="4" xfId="0" applyFont="1" applyFill="1" applyBorder="1"/>
    <xf numFmtId="41" fontId="9" fillId="3" borderId="12" xfId="1" applyFont="1" applyFill="1" applyBorder="1" applyAlignment="1">
      <alignment horizontal="center"/>
    </xf>
    <xf numFmtId="0" fontId="9" fillId="3" borderId="12" xfId="0" applyFont="1" applyFill="1" applyBorder="1" applyAlignment="1">
      <alignment horizontal="center"/>
    </xf>
    <xf numFmtId="41" fontId="9" fillId="3" borderId="4" xfId="1" applyFont="1" applyFill="1" applyBorder="1" applyAlignment="1">
      <alignment horizontal="center"/>
    </xf>
    <xf numFmtId="0" fontId="9" fillId="3" borderId="4" xfId="0" applyFont="1" applyFill="1" applyBorder="1" applyAlignment="1">
      <alignment horizontal="center"/>
    </xf>
    <xf numFmtId="41" fontId="9" fillId="3" borderId="10" xfId="1" applyFont="1" applyFill="1" applyBorder="1"/>
    <xf numFmtId="0" fontId="8" fillId="3" borderId="2" xfId="0" applyFont="1" applyFill="1" applyBorder="1"/>
    <xf numFmtId="41" fontId="8" fillId="3" borderId="3" xfId="0" applyNumberFormat="1" applyFont="1" applyFill="1" applyBorder="1"/>
    <xf numFmtId="0" fontId="9" fillId="3" borderId="9" xfId="0" applyFont="1" applyFill="1" applyBorder="1" applyAlignment="1">
      <alignment horizontal="center"/>
    </xf>
    <xf numFmtId="0" fontId="8" fillId="5" borderId="2" xfId="0" applyFont="1" applyFill="1" applyBorder="1"/>
    <xf numFmtId="41" fontId="5" fillId="3" borderId="1" xfId="1" applyFont="1" applyFill="1" applyBorder="1" applyAlignment="1">
      <alignment vertical="center" wrapText="1"/>
    </xf>
    <xf numFmtId="41" fontId="4" fillId="3" borderId="1" xfId="1" applyFont="1" applyFill="1" applyBorder="1" applyAlignment="1">
      <alignment horizontal="right" vertical="center" wrapText="1"/>
    </xf>
    <xf numFmtId="41" fontId="5" fillId="3" borderId="1" xfId="1" applyFont="1" applyFill="1" applyBorder="1" applyAlignment="1">
      <alignment horizontal="right" vertical="center" wrapText="1"/>
    </xf>
    <xf numFmtId="41" fontId="5" fillId="3" borderId="0" xfId="1" applyFont="1" applyFill="1"/>
    <xf numFmtId="0" fontId="6" fillId="3" borderId="0" xfId="0" applyFont="1" applyFill="1"/>
    <xf numFmtId="0" fontId="6" fillId="4" borderId="0" xfId="0" applyFont="1" applyFill="1"/>
    <xf numFmtId="164" fontId="6" fillId="3" borderId="0" xfId="1" applyNumberFormat="1" applyFont="1" applyFill="1"/>
    <xf numFmtId="0" fontId="6" fillId="2" borderId="2" xfId="0" applyFont="1" applyFill="1" applyBorder="1" applyAlignment="1">
      <alignment horizontal="center"/>
    </xf>
    <xf numFmtId="0" fontId="6" fillId="3" borderId="12" xfId="0" applyFont="1" applyFill="1" applyBorder="1" applyAlignment="1">
      <alignment horizontal="left"/>
    </xf>
    <xf numFmtId="164" fontId="6" fillId="3" borderId="12" xfId="1" applyNumberFormat="1" applyFont="1" applyFill="1" applyBorder="1" applyAlignment="1">
      <alignment horizontal="center"/>
    </xf>
    <xf numFmtId="0" fontId="6" fillId="3" borderId="0" xfId="0" applyFont="1" applyFill="1" applyAlignment="1">
      <alignment horizontal="center"/>
    </xf>
    <xf numFmtId="0" fontId="13" fillId="3" borderId="0" xfId="0" applyFont="1" applyFill="1" applyAlignment="1">
      <alignment horizontal="right"/>
    </xf>
    <xf numFmtId="164" fontId="6" fillId="3" borderId="12" xfId="1" applyNumberFormat="1" applyFont="1" applyFill="1" applyBorder="1"/>
    <xf numFmtId="43" fontId="6" fillId="3" borderId="0" xfId="0" applyNumberFormat="1" applyFont="1" applyFill="1"/>
    <xf numFmtId="0" fontId="6" fillId="3" borderId="4" xfId="0" applyFont="1" applyFill="1" applyBorder="1" applyAlignment="1">
      <alignment horizontal="left"/>
    </xf>
    <xf numFmtId="164" fontId="6" fillId="3" borderId="4" xfId="1" applyNumberFormat="1" applyFont="1" applyFill="1" applyBorder="1"/>
    <xf numFmtId="0" fontId="6" fillId="3" borderId="0" xfId="0" applyFont="1" applyFill="1" applyAlignment="1">
      <alignment horizontal="left"/>
    </xf>
    <xf numFmtId="0" fontId="6" fillId="3" borderId="0" xfId="0" applyFont="1" applyFill="1" applyAlignment="1">
      <alignment horizontal="right"/>
    </xf>
    <xf numFmtId="0" fontId="6" fillId="3" borderId="17" xfId="0" applyFont="1" applyFill="1" applyBorder="1"/>
    <xf numFmtId="9" fontId="6" fillId="3" borderId="0" xfId="0" applyNumberFormat="1" applyFont="1" applyFill="1"/>
    <xf numFmtId="0" fontId="3" fillId="3" borderId="0" xfId="0" applyFont="1" applyFill="1" applyAlignment="1">
      <alignment horizontal="center"/>
    </xf>
    <xf numFmtId="164" fontId="6" fillId="3" borderId="1" xfId="1" applyNumberFormat="1" applyFont="1" applyFill="1" applyBorder="1" applyAlignment="1">
      <alignment horizontal="center"/>
    </xf>
    <xf numFmtId="164" fontId="13" fillId="3" borderId="1" xfId="1" applyNumberFormat="1" applyFont="1" applyFill="1" applyBorder="1"/>
    <xf numFmtId="41" fontId="6" fillId="3" borderId="0" xfId="1" applyFont="1" applyFill="1" applyBorder="1" applyAlignment="1">
      <alignment horizontal="center"/>
    </xf>
    <xf numFmtId="0" fontId="13" fillId="3" borderId="2" xfId="0" applyFont="1" applyFill="1" applyBorder="1" applyAlignment="1">
      <alignment horizontal="center"/>
    </xf>
    <xf numFmtId="166" fontId="6" fillId="3" borderId="0" xfId="0" applyNumberFormat="1" applyFont="1" applyFill="1"/>
    <xf numFmtId="0" fontId="14" fillId="3" borderId="0" xfId="0" applyFont="1" applyFill="1"/>
    <xf numFmtId="0" fontId="15" fillId="3" borderId="0" xfId="0" applyFont="1" applyFill="1" applyAlignment="1">
      <alignment horizontal="center"/>
    </xf>
    <xf numFmtId="0" fontId="16" fillId="8" borderId="2" xfId="0" applyFont="1" applyFill="1" applyBorder="1" applyAlignment="1">
      <alignment horizontal="center"/>
    </xf>
    <xf numFmtId="0" fontId="6" fillId="3" borderId="29" xfId="0" applyFont="1" applyFill="1" applyBorder="1" applyAlignment="1">
      <alignment horizontal="center"/>
    </xf>
    <xf numFmtId="41" fontId="6" fillId="3" borderId="0" xfId="1" applyFont="1" applyFill="1" applyBorder="1"/>
    <xf numFmtId="0" fontId="6" fillId="3" borderId="1" xfId="0" applyFont="1" applyFill="1" applyBorder="1"/>
    <xf numFmtId="43" fontId="17" fillId="3" borderId="0" xfId="0" applyNumberFormat="1" applyFont="1" applyFill="1"/>
    <xf numFmtId="0" fontId="17" fillId="3" borderId="0" xfId="0" applyFont="1" applyFill="1"/>
    <xf numFmtId="0" fontId="6" fillId="3" borderId="29" xfId="0" applyFont="1" applyFill="1" applyBorder="1" applyAlignment="1">
      <alignment horizontal="right"/>
    </xf>
    <xf numFmtId="0" fontId="17" fillId="3" borderId="0" xfId="0" applyFont="1" applyFill="1" applyAlignment="1">
      <alignment horizontal="center"/>
    </xf>
    <xf numFmtId="164" fontId="6" fillId="3" borderId="0" xfId="1" applyNumberFormat="1" applyFont="1" applyFill="1" applyBorder="1"/>
    <xf numFmtId="2" fontId="6" fillId="3" borderId="0" xfId="0" applyNumberFormat="1" applyFont="1" applyFill="1" applyAlignment="1">
      <alignment horizontal="center"/>
    </xf>
    <xf numFmtId="167" fontId="6" fillId="3" borderId="0" xfId="0" applyNumberFormat="1" applyFont="1" applyFill="1"/>
    <xf numFmtId="0" fontId="6" fillId="4" borderId="7" xfId="0" applyFont="1" applyFill="1" applyBorder="1" applyAlignment="1">
      <alignment horizontal="center"/>
    </xf>
    <xf numFmtId="0" fontId="6" fillId="4" borderId="8" xfId="0" applyFont="1" applyFill="1" applyBorder="1" applyAlignment="1">
      <alignment horizontal="center"/>
    </xf>
    <xf numFmtId="43" fontId="6" fillId="4" borderId="3" xfId="0" applyNumberFormat="1" applyFont="1" applyFill="1" applyBorder="1"/>
    <xf numFmtId="164" fontId="13" fillId="3" borderId="7" xfId="1" applyNumberFormat="1" applyFont="1" applyFill="1" applyBorder="1"/>
    <xf numFmtId="164" fontId="13" fillId="3" borderId="8" xfId="0" applyNumberFormat="1" applyFont="1" applyFill="1" applyBorder="1"/>
    <xf numFmtId="0" fontId="6" fillId="3" borderId="3" xfId="0" applyFont="1" applyFill="1" applyBorder="1" applyAlignment="1">
      <alignment horizontal="center"/>
    </xf>
    <xf numFmtId="0" fontId="6" fillId="5" borderId="2" xfId="0" applyFont="1" applyFill="1" applyBorder="1" applyAlignment="1">
      <alignment horizontal="center"/>
    </xf>
    <xf numFmtId="0" fontId="6" fillId="3" borderId="12" xfId="0" applyFont="1" applyFill="1" applyBorder="1"/>
    <xf numFmtId="0" fontId="6" fillId="3" borderId="9" xfId="0" applyFont="1" applyFill="1" applyBorder="1"/>
    <xf numFmtId="0" fontId="6" fillId="3" borderId="10" xfId="0" applyFont="1" applyFill="1" applyBorder="1"/>
    <xf numFmtId="41" fontId="6" fillId="3" borderId="12" xfId="1" applyFont="1" applyFill="1" applyBorder="1"/>
    <xf numFmtId="41" fontId="6" fillId="3" borderId="14" xfId="1" applyFont="1" applyFill="1" applyBorder="1"/>
    <xf numFmtId="0" fontId="6" fillId="3" borderId="16" xfId="0" applyFont="1" applyFill="1" applyBorder="1" applyAlignment="1">
      <alignment horizontal="center"/>
    </xf>
    <xf numFmtId="164" fontId="6" fillId="3" borderId="0" xfId="0" applyNumberFormat="1" applyFont="1" applyFill="1"/>
    <xf numFmtId="164" fontId="13" fillId="3" borderId="0" xfId="0" applyNumberFormat="1" applyFont="1" applyFill="1" applyAlignment="1">
      <alignment vertical="center" wrapText="1"/>
    </xf>
    <xf numFmtId="41" fontId="6" fillId="3" borderId="0" xfId="0" applyNumberFormat="1" applyFont="1" applyFill="1"/>
    <xf numFmtId="0" fontId="6" fillId="3" borderId="4" xfId="0" applyFont="1" applyFill="1" applyBorder="1"/>
    <xf numFmtId="0" fontId="6" fillId="3" borderId="6" xfId="0" applyFont="1" applyFill="1" applyBorder="1"/>
    <xf numFmtId="0" fontId="6" fillId="3" borderId="11" xfId="0" applyFont="1" applyFill="1" applyBorder="1"/>
    <xf numFmtId="0" fontId="6" fillId="3" borderId="5" xfId="0" applyFont="1" applyFill="1" applyBorder="1"/>
    <xf numFmtId="41" fontId="6" fillId="3" borderId="4" xfId="1" applyFont="1" applyFill="1" applyBorder="1"/>
    <xf numFmtId="41" fontId="6" fillId="3" borderId="0" xfId="1" applyFont="1" applyFill="1"/>
    <xf numFmtId="164" fontId="6" fillId="3" borderId="16" xfId="0" applyNumberFormat="1" applyFont="1" applyFill="1" applyBorder="1" applyAlignment="1">
      <alignment horizontal="center"/>
    </xf>
    <xf numFmtId="41" fontId="13" fillId="3" borderId="0" xfId="0" applyNumberFormat="1" applyFont="1" applyFill="1"/>
    <xf numFmtId="0" fontId="13" fillId="3" borderId="0" xfId="0" applyFont="1" applyFill="1"/>
    <xf numFmtId="164" fontId="6" fillId="3" borderId="0" xfId="1" applyNumberFormat="1" applyFont="1" applyFill="1" applyAlignment="1">
      <alignment horizontal="left"/>
    </xf>
    <xf numFmtId="43" fontId="6" fillId="3" borderId="4" xfId="0" applyNumberFormat="1" applyFont="1" applyFill="1" applyBorder="1"/>
    <xf numFmtId="43" fontId="13" fillId="3" borderId="2" xfId="0" applyNumberFormat="1" applyFont="1" applyFill="1" applyBorder="1"/>
    <xf numFmtId="164" fontId="6" fillId="3" borderId="11" xfId="0" applyNumberFormat="1" applyFont="1" applyFill="1" applyBorder="1"/>
    <xf numFmtId="43" fontId="6" fillId="3" borderId="11" xfId="0" applyNumberFormat="1" applyFont="1" applyFill="1" applyBorder="1"/>
    <xf numFmtId="167" fontId="6" fillId="3" borderId="5" xfId="0" applyNumberFormat="1" applyFont="1" applyFill="1" applyBorder="1"/>
    <xf numFmtId="0" fontId="6" fillId="3" borderId="10" xfId="0" applyFont="1" applyFill="1" applyBorder="1" applyAlignment="1">
      <alignment horizontal="center"/>
    </xf>
    <xf numFmtId="0" fontId="6" fillId="3" borderId="7" xfId="0" applyFont="1" applyFill="1" applyBorder="1"/>
    <xf numFmtId="0" fontId="6" fillId="3" borderId="2" xfId="0" applyFont="1" applyFill="1" applyBorder="1"/>
    <xf numFmtId="41" fontId="6" fillId="3" borderId="9" xfId="1" applyFont="1" applyFill="1" applyBorder="1"/>
    <xf numFmtId="41" fontId="6" fillId="3" borderId="6" xfId="1" applyFont="1" applyFill="1" applyBorder="1"/>
    <xf numFmtId="41" fontId="6" fillId="3" borderId="2" xfId="0" applyNumberFormat="1" applyFont="1" applyFill="1" applyBorder="1"/>
    <xf numFmtId="164" fontId="6" fillId="3" borderId="0" xfId="1" applyNumberFormat="1" applyFont="1" applyFill="1" applyBorder="1" applyAlignment="1">
      <alignment horizontal="center"/>
    </xf>
    <xf numFmtId="164" fontId="13" fillId="3" borderId="0" xfId="1" applyNumberFormat="1" applyFont="1" applyFill="1" applyBorder="1"/>
    <xf numFmtId="41" fontId="6" fillId="3" borderId="12" xfId="0" applyNumberFormat="1" applyFont="1" applyFill="1" applyBorder="1"/>
    <xf numFmtId="0" fontId="18" fillId="3" borderId="0" xfId="0" applyFont="1" applyFill="1"/>
    <xf numFmtId="0" fontId="20"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horizontal="right" vertical="center" wrapText="1"/>
    </xf>
    <xf numFmtId="0" fontId="18" fillId="3" borderId="1" xfId="0" applyFont="1" applyFill="1" applyBorder="1"/>
    <xf numFmtId="0" fontId="20" fillId="7" borderId="1" xfId="0" applyFont="1" applyFill="1" applyBorder="1"/>
    <xf numFmtId="3" fontId="18" fillId="0" borderId="1" xfId="0" applyNumberFormat="1" applyFont="1" applyBorder="1" applyAlignment="1">
      <alignment horizontal="right" vertical="center" wrapText="1"/>
    </xf>
    <xf numFmtId="0" fontId="20" fillId="7" borderId="16" xfId="0" applyFont="1" applyFill="1" applyBorder="1" applyAlignment="1">
      <alignment horizontal="center" vertical="center" wrapText="1"/>
    </xf>
    <xf numFmtId="0" fontId="20" fillId="3" borderId="0" xfId="0" applyFont="1" applyFill="1"/>
    <xf numFmtId="0" fontId="18" fillId="3" borderId="30" xfId="0" applyFont="1" applyFill="1" applyBorder="1"/>
    <xf numFmtId="3" fontId="18" fillId="0" borderId="1" xfId="0" applyNumberFormat="1" applyFont="1" applyBorder="1" applyAlignment="1">
      <alignment vertical="center" wrapText="1"/>
    </xf>
    <xf numFmtId="0" fontId="21" fillId="3" borderId="0" xfId="0" applyFont="1" applyFill="1"/>
    <xf numFmtId="0" fontId="22" fillId="0" borderId="0" xfId="0" applyFont="1"/>
    <xf numFmtId="41" fontId="18" fillId="0" borderId="1" xfId="1" applyFont="1" applyBorder="1" applyAlignment="1">
      <alignment vertical="center" wrapText="1"/>
    </xf>
    <xf numFmtId="41" fontId="18" fillId="3" borderId="1" xfId="1" applyFont="1" applyFill="1" applyBorder="1" applyAlignment="1"/>
    <xf numFmtId="41" fontId="20" fillId="7" borderId="1" xfId="0" applyNumberFormat="1" applyFont="1" applyFill="1" applyBorder="1"/>
    <xf numFmtId="0" fontId="2" fillId="3" borderId="7" xfId="0" applyFont="1" applyFill="1" applyBorder="1" applyAlignment="1">
      <alignment horizontal="center"/>
    </xf>
    <xf numFmtId="0" fontId="3" fillId="3" borderId="6" xfId="0" applyFont="1" applyFill="1" applyBorder="1"/>
    <xf numFmtId="0" fontId="3" fillId="3" borderId="11" xfId="0" applyFont="1" applyFill="1" applyBorder="1"/>
    <xf numFmtId="41" fontId="3" fillId="3" borderId="4" xfId="1" applyFont="1" applyFill="1" applyBorder="1"/>
    <xf numFmtId="41" fontId="3" fillId="3" borderId="5" xfId="1" applyFont="1" applyFill="1" applyBorder="1"/>
    <xf numFmtId="41" fontId="3" fillId="3" borderId="0" xfId="1" applyFont="1" applyFill="1"/>
    <xf numFmtId="41" fontId="2" fillId="3" borderId="2" xfId="1" applyFont="1" applyFill="1" applyBorder="1" applyAlignment="1">
      <alignment horizontal="center"/>
    </xf>
    <xf numFmtId="41" fontId="2" fillId="3" borderId="3" xfId="1" applyFont="1" applyFill="1" applyBorder="1" applyAlignment="1">
      <alignment horizontal="center"/>
    </xf>
    <xf numFmtId="0" fontId="3" fillId="3" borderId="9" xfId="0" applyFont="1" applyFill="1" applyBorder="1" applyAlignment="1">
      <alignment horizontal="center"/>
    </xf>
    <xf numFmtId="41" fontId="5" fillId="3" borderId="0" xfId="0" applyNumberFormat="1" applyFont="1" applyFill="1"/>
    <xf numFmtId="41" fontId="4" fillId="3" borderId="1" xfId="1" applyFont="1" applyFill="1" applyBorder="1"/>
    <xf numFmtId="41" fontId="5" fillId="3" borderId="1" xfId="1" applyFont="1" applyFill="1" applyBorder="1" applyAlignment="1">
      <alignment horizontal="right"/>
    </xf>
    <xf numFmtId="41" fontId="5" fillId="3" borderId="0" xfId="1" applyFont="1" applyFill="1" applyAlignment="1">
      <alignment horizontal="right"/>
    </xf>
    <xf numFmtId="41" fontId="23" fillId="4" borderId="2" xfId="0" applyNumberFormat="1" applyFont="1" applyFill="1" applyBorder="1"/>
    <xf numFmtId="0" fontId="5" fillId="3" borderId="13" xfId="0" applyFont="1" applyFill="1" applyBorder="1" applyAlignment="1">
      <alignment horizontal="center"/>
    </xf>
    <xf numFmtId="0" fontId="4" fillId="7" borderId="1" xfId="0" applyFont="1" applyFill="1" applyBorder="1" applyAlignment="1">
      <alignment vertical="center" wrapText="1"/>
    </xf>
    <xf numFmtId="41" fontId="4" fillId="7" borderId="1" xfId="1" applyFont="1" applyFill="1" applyBorder="1" applyAlignment="1">
      <alignment horizontal="right" vertical="center" wrapText="1"/>
    </xf>
    <xf numFmtId="41" fontId="4" fillId="7" borderId="1" xfId="1" applyFont="1" applyFill="1" applyBorder="1" applyAlignment="1">
      <alignment horizontal="center" vertical="center" wrapText="1"/>
    </xf>
    <xf numFmtId="0" fontId="24" fillId="9" borderId="2" xfId="0" applyFont="1" applyFill="1" applyBorder="1" applyAlignment="1">
      <alignment vertical="center" wrapText="1"/>
    </xf>
    <xf numFmtId="0" fontId="24" fillId="9" borderId="3" xfId="0" applyFont="1" applyFill="1" applyBorder="1" applyAlignment="1">
      <alignment horizontal="center" vertical="center" wrapText="1"/>
    </xf>
    <xf numFmtId="0" fontId="25" fillId="0" borderId="4" xfId="0" applyFont="1" applyBorder="1" applyAlignment="1">
      <alignment vertical="center" wrapText="1"/>
    </xf>
    <xf numFmtId="3" fontId="25" fillId="0" borderId="5" xfId="0" applyNumberFormat="1" applyFont="1" applyBorder="1" applyAlignment="1">
      <alignment horizontal="right" vertical="center" wrapText="1"/>
    </xf>
    <xf numFmtId="0" fontId="24" fillId="9" borderId="4" xfId="0" applyFont="1" applyFill="1" applyBorder="1" applyAlignment="1">
      <alignment horizontal="center" vertical="center" wrapText="1"/>
    </xf>
    <xf numFmtId="3" fontId="24" fillId="9" borderId="5" xfId="0" applyNumberFormat="1" applyFont="1" applyFill="1" applyBorder="1" applyAlignment="1">
      <alignment horizontal="right" vertical="center" wrapText="1"/>
    </xf>
    <xf numFmtId="0" fontId="20" fillId="7" borderId="4" xfId="0" applyFont="1" applyFill="1" applyBorder="1" applyAlignment="1">
      <alignment horizontal="center" vertical="center" wrapText="1"/>
    </xf>
    <xf numFmtId="0" fontId="20" fillId="0" borderId="26" xfId="0" applyFont="1" applyBorder="1" applyAlignment="1">
      <alignment vertical="center" wrapText="1"/>
    </xf>
    <xf numFmtId="0" fontId="18" fillId="0" borderId="32" xfId="0" applyFont="1" applyBorder="1" applyAlignment="1">
      <alignment vertical="center" wrapText="1"/>
    </xf>
    <xf numFmtId="0" fontId="18" fillId="0" borderId="26" xfId="0" applyFont="1" applyBorder="1" applyAlignment="1">
      <alignment vertical="center" wrapText="1"/>
    </xf>
    <xf numFmtId="41" fontId="18" fillId="0" borderId="32" xfId="1" applyFont="1" applyBorder="1" applyAlignment="1">
      <alignment vertical="center" wrapText="1"/>
    </xf>
    <xf numFmtId="0" fontId="18" fillId="3" borderId="26" xfId="0" applyFont="1" applyFill="1" applyBorder="1"/>
    <xf numFmtId="41" fontId="18" fillId="3" borderId="32" xfId="1" applyFont="1" applyFill="1" applyBorder="1" applyAlignment="1"/>
    <xf numFmtId="0" fontId="20" fillId="7" borderId="26" xfId="0" applyFont="1" applyFill="1" applyBorder="1"/>
    <xf numFmtId="41" fontId="20" fillId="7" borderId="32" xfId="0" applyNumberFormat="1" applyFont="1" applyFill="1" applyBorder="1"/>
    <xf numFmtId="0" fontId="20" fillId="0" borderId="32" xfId="0" applyFont="1" applyBorder="1" applyAlignment="1">
      <alignment vertical="center" wrapText="1"/>
    </xf>
    <xf numFmtId="3" fontId="18" fillId="0" borderId="32" xfId="0" applyNumberFormat="1" applyFont="1" applyBorder="1" applyAlignment="1">
      <alignment vertical="center" wrapText="1"/>
    </xf>
    <xf numFmtId="0" fontId="20" fillId="7" borderId="27" xfId="0" applyFont="1" applyFill="1" applyBorder="1"/>
    <xf numFmtId="0" fontId="20" fillId="7" borderId="28" xfId="0" applyFont="1" applyFill="1" applyBorder="1"/>
    <xf numFmtId="41" fontId="20" fillId="7" borderId="28" xfId="0" applyNumberFormat="1" applyFont="1" applyFill="1" applyBorder="1"/>
    <xf numFmtId="41" fontId="20" fillId="7" borderId="33" xfId="0" applyNumberFormat="1" applyFont="1" applyFill="1" applyBorder="1"/>
    <xf numFmtId="0" fontId="20" fillId="0" borderId="34" xfId="0" applyFont="1" applyBorder="1" applyAlignment="1">
      <alignment vertical="center" wrapText="1"/>
    </xf>
    <xf numFmtId="0" fontId="18" fillId="3" borderId="35" xfId="0" applyFont="1" applyFill="1" applyBorder="1"/>
    <xf numFmtId="0" fontId="18" fillId="3" borderId="32" xfId="0" applyFont="1" applyFill="1" applyBorder="1"/>
    <xf numFmtId="0" fontId="18" fillId="0" borderId="27" xfId="0" applyFont="1" applyBorder="1" applyAlignment="1">
      <alignment vertical="center" wrapText="1"/>
    </xf>
    <xf numFmtId="3" fontId="18" fillId="0" borderId="28" xfId="0" applyNumberFormat="1" applyFont="1" applyBorder="1" applyAlignment="1">
      <alignment horizontal="right" vertical="center" wrapText="1"/>
    </xf>
    <xf numFmtId="0" fontId="18" fillId="0" borderId="28" xfId="0" applyFont="1" applyBorder="1" applyAlignment="1">
      <alignment horizontal="center" vertical="center" wrapText="1"/>
    </xf>
    <xf numFmtId="3" fontId="18" fillId="0" borderId="33" xfId="0" applyNumberFormat="1" applyFont="1" applyBorder="1" applyAlignment="1">
      <alignment vertical="center" wrapText="1"/>
    </xf>
    <xf numFmtId="0" fontId="18" fillId="0" borderId="30" xfId="0" applyFont="1" applyBorder="1" applyAlignment="1">
      <alignment vertical="center" wrapText="1"/>
    </xf>
    <xf numFmtId="0" fontId="18" fillId="0" borderId="35" xfId="0" applyFont="1" applyBorder="1" applyAlignment="1">
      <alignment vertical="center" wrapText="1"/>
    </xf>
    <xf numFmtId="43" fontId="6" fillId="3" borderId="12" xfId="0" applyNumberFormat="1" applyFont="1" applyFill="1" applyBorder="1" applyAlignment="1">
      <alignment horizontal="center"/>
    </xf>
    <xf numFmtId="43" fontId="6" fillId="3" borderId="4" xfId="0" applyNumberFormat="1" applyFont="1" applyFill="1" applyBorder="1" applyAlignment="1">
      <alignment horizontal="center"/>
    </xf>
    <xf numFmtId="0" fontId="14" fillId="3" borderId="7" xfId="0" applyFont="1" applyFill="1" applyBorder="1"/>
    <xf numFmtId="0" fontId="6" fillId="3" borderId="8" xfId="0" applyFont="1" applyFill="1" applyBorder="1" applyAlignment="1">
      <alignment horizontal="right"/>
    </xf>
    <xf numFmtId="164" fontId="7" fillId="3" borderId="1" xfId="1" applyNumberFormat="1" applyFont="1" applyFill="1" applyBorder="1" applyAlignment="1">
      <alignment horizontal="center"/>
    </xf>
    <xf numFmtId="165" fontId="21" fillId="3" borderId="16" xfId="1" applyNumberFormat="1" applyFont="1" applyFill="1" applyBorder="1"/>
    <xf numFmtId="164" fontId="6" fillId="3" borderId="10" xfId="0" applyNumberFormat="1" applyFont="1" applyFill="1" applyBorder="1"/>
    <xf numFmtId="0" fontId="6" fillId="3" borderId="14" xfId="0" applyFont="1" applyFill="1" applyBorder="1"/>
    <xf numFmtId="0" fontId="6" fillId="3" borderId="15" xfId="0" applyFont="1" applyFill="1" applyBorder="1" applyAlignment="1">
      <alignment horizontal="center"/>
    </xf>
    <xf numFmtId="41" fontId="6" fillId="3" borderId="2" xfId="1" applyFont="1" applyFill="1" applyBorder="1"/>
    <xf numFmtId="3" fontId="10" fillId="6" borderId="5"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3" borderId="0" xfId="0" applyFont="1" applyFill="1" applyAlignment="1">
      <alignment horizontal="left" vertical="center" wrapText="1"/>
    </xf>
    <xf numFmtId="41" fontId="9" fillId="0" borderId="0" xfId="1" applyFont="1"/>
    <xf numFmtId="41" fontId="9" fillId="0" borderId="12" xfId="1" applyFont="1" applyBorder="1"/>
    <xf numFmtId="9" fontId="9" fillId="0" borderId="12" xfId="0" applyNumberFormat="1" applyFont="1" applyBorder="1" applyAlignment="1">
      <alignment horizontal="center"/>
    </xf>
    <xf numFmtId="9" fontId="9" fillId="0" borderId="4" xfId="0" applyNumberFormat="1" applyFont="1" applyBorder="1" applyAlignment="1">
      <alignment horizontal="center"/>
    </xf>
    <xf numFmtId="0" fontId="8" fillId="2" borderId="2" xfId="0" applyFont="1" applyFill="1" applyBorder="1" applyAlignment="1">
      <alignment horizontal="center"/>
    </xf>
    <xf numFmtId="0" fontId="8" fillId="0" borderId="2" xfId="0" applyFont="1" applyBorder="1"/>
    <xf numFmtId="41" fontId="8" fillId="0" borderId="2" xfId="0" applyNumberFormat="1" applyFont="1" applyBorder="1"/>
    <xf numFmtId="0" fontId="24" fillId="9" borderId="2" xfId="0" applyFont="1" applyFill="1" applyBorder="1" applyAlignment="1">
      <alignment horizontal="center" vertical="center" wrapText="1"/>
    </xf>
    <xf numFmtId="3" fontId="25" fillId="0" borderId="4" xfId="0" applyNumberFormat="1" applyFont="1" applyBorder="1" applyAlignment="1">
      <alignment horizontal="right" vertical="center" wrapText="1"/>
    </xf>
    <xf numFmtId="3" fontId="24" fillId="9" borderId="4" xfId="0" applyNumberFormat="1" applyFont="1" applyFill="1" applyBorder="1" applyAlignment="1">
      <alignment horizontal="right" vertical="center" wrapText="1"/>
    </xf>
    <xf numFmtId="10" fontId="8" fillId="0" borderId="16" xfId="0" applyNumberFormat="1" applyFont="1" applyBorder="1" applyAlignment="1">
      <alignment horizontal="center"/>
    </xf>
    <xf numFmtId="0" fontId="8" fillId="0" borderId="4" xfId="0" applyFont="1" applyBorder="1" applyAlignment="1">
      <alignment horizontal="center"/>
    </xf>
    <xf numFmtId="41" fontId="9" fillId="0" borderId="16" xfId="1" applyFont="1" applyBorder="1" applyAlignment="1">
      <alignment horizontal="center"/>
    </xf>
    <xf numFmtId="41" fontId="9" fillId="0" borderId="4" xfId="1" applyFont="1" applyBorder="1" applyAlignment="1">
      <alignment horizontal="center"/>
    </xf>
    <xf numFmtId="0" fontId="25" fillId="6" borderId="4" xfId="0" applyFont="1" applyFill="1" applyBorder="1" applyAlignment="1">
      <alignment vertical="center" wrapText="1"/>
    </xf>
    <xf numFmtId="3" fontId="25" fillId="6" borderId="11" xfId="0" applyNumberFormat="1" applyFont="1" applyFill="1" applyBorder="1" applyAlignment="1">
      <alignment horizontal="right" vertical="center"/>
    </xf>
    <xf numFmtId="3" fontId="25" fillId="6" borderId="4" xfId="0" applyNumberFormat="1" applyFont="1" applyFill="1" applyBorder="1" applyAlignment="1">
      <alignment horizontal="right" vertical="center"/>
    </xf>
    <xf numFmtId="3" fontId="25" fillId="6" borderId="5" xfId="0" applyNumberFormat="1" applyFont="1" applyFill="1" applyBorder="1" applyAlignment="1">
      <alignment horizontal="right" vertical="center"/>
    </xf>
    <xf numFmtId="3" fontId="25" fillId="6" borderId="6" xfId="0" applyNumberFormat="1" applyFont="1" applyFill="1" applyBorder="1" applyAlignment="1">
      <alignment horizontal="right" vertical="center"/>
    </xf>
    <xf numFmtId="0" fontId="9" fillId="3" borderId="0" xfId="0" applyFont="1" applyFill="1" applyAlignment="1">
      <alignment vertical="center" wrapText="1"/>
    </xf>
    <xf numFmtId="3" fontId="9" fillId="3" borderId="0" xfId="0" applyNumberFormat="1" applyFont="1" applyFill="1" applyAlignment="1">
      <alignment horizontal="right" vertical="center" wrapText="1"/>
    </xf>
    <xf numFmtId="0" fontId="8" fillId="3" borderId="0" xfId="0" applyFont="1" applyFill="1" applyAlignment="1">
      <alignment vertical="center" wrapText="1"/>
    </xf>
    <xf numFmtId="3" fontId="25" fillId="6" borderId="5" xfId="0" applyNumberFormat="1" applyFont="1" applyFill="1" applyBorder="1" applyAlignment="1">
      <alignment horizontal="center" vertical="center"/>
    </xf>
    <xf numFmtId="41" fontId="6" fillId="3" borderId="11" xfId="0" applyNumberFormat="1" applyFont="1" applyFill="1" applyBorder="1"/>
    <xf numFmtId="0" fontId="7" fillId="2" borderId="7" xfId="0" applyFont="1" applyFill="1" applyBorder="1"/>
    <xf numFmtId="0" fontId="7" fillId="2" borderId="8" xfId="0" applyFont="1" applyFill="1" applyBorder="1"/>
    <xf numFmtId="0" fontId="7" fillId="2" borderId="3" xfId="0" applyFont="1" applyFill="1" applyBorder="1"/>
    <xf numFmtId="0" fontId="7" fillId="2" borderId="8" xfId="0" applyFont="1" applyFill="1" applyBorder="1" applyAlignment="1">
      <alignment horizontal="center"/>
    </xf>
    <xf numFmtId="0" fontId="7" fillId="2" borderId="2" xfId="0" applyFont="1" applyFill="1" applyBorder="1" applyAlignment="1">
      <alignment horizontal="center"/>
    </xf>
    <xf numFmtId="0" fontId="9" fillId="0" borderId="6" xfId="0" applyFont="1" applyBorder="1" applyAlignment="1">
      <alignment horizontal="center"/>
    </xf>
    <xf numFmtId="41" fontId="12" fillId="2" borderId="17" xfId="1" applyFont="1" applyFill="1" applyBorder="1" applyAlignment="1">
      <alignment horizontal="center" vertical="center" wrapText="1"/>
    </xf>
    <xf numFmtId="0" fontId="12" fillId="2" borderId="5" xfId="0" applyFont="1" applyFill="1" applyBorder="1" applyAlignment="1">
      <alignment horizontal="center" vertical="center" wrapText="1"/>
    </xf>
    <xf numFmtId="41" fontId="12" fillId="2" borderId="5" xfId="1" applyFont="1" applyFill="1" applyBorder="1" applyAlignment="1">
      <alignment horizontal="center" vertical="center" wrapText="1"/>
    </xf>
    <xf numFmtId="0" fontId="9" fillId="4" borderId="0" xfId="0" applyFont="1" applyFill="1"/>
    <xf numFmtId="0" fontId="9" fillId="4" borderId="14" xfId="0" applyFont="1" applyFill="1" applyBorder="1"/>
    <xf numFmtId="9" fontId="9" fillId="4" borderId="17" xfId="0" applyNumberFormat="1" applyFont="1" applyFill="1" applyBorder="1"/>
    <xf numFmtId="0" fontId="9" fillId="4" borderId="9" xfId="0" applyFont="1" applyFill="1" applyBorder="1"/>
    <xf numFmtId="9" fontId="9" fillId="4" borderId="10" xfId="0" applyNumberFormat="1" applyFont="1" applyFill="1" applyBorder="1"/>
    <xf numFmtId="0" fontId="9" fillId="4" borderId="6" xfId="0" applyFont="1" applyFill="1" applyBorder="1"/>
    <xf numFmtId="9" fontId="9" fillId="4" borderId="5" xfId="0" applyNumberFormat="1" applyFont="1" applyFill="1" applyBorder="1"/>
    <xf numFmtId="0" fontId="29" fillId="0" borderId="0" xfId="0" applyFont="1" applyAlignment="1">
      <alignment horizontal="center"/>
    </xf>
    <xf numFmtId="0" fontId="29" fillId="0" borderId="0" xfId="0" applyFont="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4" xfId="0" applyFont="1" applyBorder="1" applyAlignment="1">
      <alignment horizontal="justify" vertical="center" wrapText="1"/>
    </xf>
    <xf numFmtId="0" fontId="28" fillId="0" borderId="0" xfId="0" applyFont="1" applyAlignment="1">
      <alignment horizontal="left"/>
    </xf>
    <xf numFmtId="0" fontId="12" fillId="10" borderId="2" xfId="0" applyFont="1" applyFill="1" applyBorder="1" applyAlignment="1">
      <alignment horizontal="justify" vertical="center" wrapText="1"/>
    </xf>
    <xf numFmtId="0" fontId="12" fillId="10" borderId="3" xfId="0" applyFont="1" applyFill="1" applyBorder="1" applyAlignment="1">
      <alignment horizontal="center" vertical="center" wrapText="1"/>
    </xf>
    <xf numFmtId="0" fontId="2" fillId="0" borderId="0" xfId="0" applyFont="1" applyAlignment="1">
      <alignment horizontal="left"/>
    </xf>
    <xf numFmtId="0" fontId="3" fillId="0" borderId="2" xfId="0" applyFont="1" applyBorder="1" applyAlignment="1">
      <alignment horizontal="justify" vertical="center" wrapText="1"/>
    </xf>
    <xf numFmtId="41" fontId="3" fillId="0" borderId="2" xfId="1" applyFont="1" applyBorder="1" applyAlignment="1">
      <alignment horizontal="right" vertical="center" wrapText="1"/>
    </xf>
    <xf numFmtId="0" fontId="2" fillId="2" borderId="2" xfId="0" applyFont="1" applyFill="1" applyBorder="1" applyAlignment="1">
      <alignment horizontal="justify" vertical="center" wrapText="1"/>
    </xf>
    <xf numFmtId="41" fontId="3" fillId="0" borderId="5" xfId="1" applyFont="1" applyBorder="1" applyAlignment="1">
      <alignment horizontal="right" vertical="center" wrapText="1"/>
    </xf>
    <xf numFmtId="0" fontId="9" fillId="3" borderId="9" xfId="0" applyFont="1" applyFill="1" applyBorder="1"/>
    <xf numFmtId="0" fontId="9" fillId="3" borderId="10" xfId="0" applyFont="1" applyFill="1" applyBorder="1"/>
    <xf numFmtId="0" fontId="9" fillId="3" borderId="6" xfId="0" applyFont="1" applyFill="1" applyBorder="1"/>
    <xf numFmtId="0" fontId="9" fillId="3" borderId="5" xfId="0" applyFont="1" applyFill="1" applyBorder="1"/>
    <xf numFmtId="41" fontId="8" fillId="3" borderId="0" xfId="0" applyNumberFormat="1" applyFont="1" applyFill="1"/>
    <xf numFmtId="0" fontId="9" fillId="3" borderId="0" xfId="0" applyFont="1" applyFill="1" applyAlignment="1">
      <alignment horizontal="left"/>
    </xf>
    <xf numFmtId="0" fontId="8" fillId="4" borderId="2" xfId="0" applyFont="1" applyFill="1" applyBorder="1" applyAlignment="1">
      <alignment horizontal="center"/>
    </xf>
    <xf numFmtId="0" fontId="6" fillId="5" borderId="7" xfId="0" applyFont="1" applyFill="1" applyBorder="1" applyAlignment="1">
      <alignment horizontal="center"/>
    </xf>
    <xf numFmtId="0" fontId="6" fillId="5" borderId="8" xfId="0" applyFont="1" applyFill="1" applyBorder="1" applyAlignment="1">
      <alignment horizontal="center"/>
    </xf>
    <xf numFmtId="0" fontId="6" fillId="5" borderId="3" xfId="0" applyFont="1" applyFill="1" applyBorder="1" applyAlignment="1">
      <alignment horizontal="center"/>
    </xf>
    <xf numFmtId="0" fontId="8" fillId="3" borderId="0" xfId="0" applyFont="1" applyFill="1" applyAlignment="1">
      <alignment horizontal="center" vertical="center" wrapText="1"/>
    </xf>
    <xf numFmtId="0" fontId="3" fillId="3" borderId="1" xfId="0" applyFont="1" applyFill="1" applyBorder="1" applyAlignment="1">
      <alignment horizontal="center" vertical="center" shrinkToFit="1"/>
    </xf>
    <xf numFmtId="41" fontId="3" fillId="3" borderId="1" xfId="1" applyFont="1" applyFill="1" applyBorder="1" applyAlignment="1">
      <alignment horizontal="center" vertical="center" shrinkToFit="1"/>
    </xf>
    <xf numFmtId="0" fontId="3" fillId="2" borderId="0" xfId="0" applyFont="1" applyFill="1" applyAlignment="1">
      <alignment horizontal="center" vertical="center" shrinkToFit="1"/>
    </xf>
    <xf numFmtId="0" fontId="2" fillId="3" borderId="1" xfId="0" applyFont="1" applyFill="1" applyBorder="1" applyAlignment="1">
      <alignment horizontal="center" vertical="center" shrinkToFit="1"/>
    </xf>
    <xf numFmtId="41" fontId="2" fillId="3" borderId="1" xfId="1" applyFont="1" applyFill="1" applyBorder="1" applyAlignment="1">
      <alignment horizontal="center" vertical="center" shrinkToFit="1"/>
    </xf>
    <xf numFmtId="9" fontId="3" fillId="0" borderId="2" xfId="1" applyNumberFormat="1" applyFont="1" applyBorder="1" applyAlignment="1">
      <alignment horizontal="center" vertical="center" wrapText="1"/>
    </xf>
    <xf numFmtId="0" fontId="9" fillId="0" borderId="7" xfId="0" applyFont="1" applyBorder="1"/>
    <xf numFmtId="0" fontId="9" fillId="0" borderId="8" xfId="0" applyFont="1" applyBorder="1"/>
    <xf numFmtId="41" fontId="9" fillId="0" borderId="2" xfId="1" applyFont="1" applyBorder="1"/>
    <xf numFmtId="0" fontId="11" fillId="0" borderId="7" xfId="0" applyFont="1" applyBorder="1"/>
    <xf numFmtId="0" fontId="11" fillId="0" borderId="8" xfId="0" applyFont="1" applyBorder="1"/>
    <xf numFmtId="41" fontId="11" fillId="0" borderId="2" xfId="1" applyFont="1" applyBorder="1"/>
    <xf numFmtId="41" fontId="9" fillId="0" borderId="16" xfId="1" applyFont="1" applyBorder="1"/>
    <xf numFmtId="41" fontId="9" fillId="0" borderId="2" xfId="0" applyNumberFormat="1" applyFont="1" applyBorder="1"/>
    <xf numFmtId="41" fontId="9" fillId="0" borderId="2" xfId="1" applyFont="1" applyBorder="1" applyAlignment="1">
      <alignment horizontal="center"/>
    </xf>
    <xf numFmtId="41" fontId="9" fillId="3" borderId="12" xfId="0" applyNumberFormat="1" applyFont="1" applyFill="1" applyBorder="1"/>
    <xf numFmtId="0" fontId="3" fillId="3" borderId="14" xfId="0" applyFont="1" applyFill="1" applyBorder="1"/>
    <xf numFmtId="0" fontId="3" fillId="3" borderId="14" xfId="0" applyFont="1" applyFill="1" applyBorder="1" applyAlignment="1">
      <alignment horizontal="center"/>
    </xf>
    <xf numFmtId="0" fontId="3" fillId="3" borderId="15" xfId="0" applyFont="1" applyFill="1" applyBorder="1" applyAlignment="1">
      <alignment horizontal="center"/>
    </xf>
    <xf numFmtId="41" fontId="3" fillId="3" borderId="16" xfId="1" applyFont="1" applyFill="1" applyBorder="1"/>
    <xf numFmtId="41" fontId="3" fillId="3" borderId="17" xfId="1" applyFont="1" applyFill="1" applyBorder="1"/>
    <xf numFmtId="0" fontId="5" fillId="4" borderId="1" xfId="0" applyFont="1" applyFill="1" applyBorder="1" applyAlignment="1">
      <alignment vertical="center" wrapText="1"/>
    </xf>
    <xf numFmtId="41" fontId="5" fillId="4" borderId="1" xfId="1" applyFont="1" applyFill="1" applyBorder="1" applyAlignment="1">
      <alignment horizontal="right" vertical="center" wrapText="1"/>
    </xf>
    <xf numFmtId="3" fontId="8" fillId="3" borderId="3" xfId="0" applyNumberFormat="1" applyFont="1" applyFill="1" applyBorder="1" applyAlignment="1">
      <alignment horizontal="center"/>
    </xf>
    <xf numFmtId="41" fontId="8" fillId="3" borderId="3" xfId="1" applyFont="1" applyFill="1" applyBorder="1" applyAlignment="1">
      <alignment horizontal="center"/>
    </xf>
    <xf numFmtId="41" fontId="8" fillId="3" borderId="2" xfId="1" applyFont="1" applyFill="1" applyBorder="1" applyAlignment="1">
      <alignment horizontal="center"/>
    </xf>
    <xf numFmtId="41" fontId="8" fillId="4" borderId="2" xfId="0" applyNumberFormat="1" applyFont="1" applyFill="1" applyBorder="1"/>
    <xf numFmtId="41" fontId="3" fillId="11" borderId="1" xfId="1" applyFont="1" applyFill="1" applyBorder="1" applyAlignment="1">
      <alignment horizontal="center" vertical="center" shrinkToFit="1"/>
    </xf>
    <xf numFmtId="0" fontId="3" fillId="3" borderId="0" xfId="0" applyFont="1" applyFill="1" applyAlignment="1">
      <alignment horizontal="left"/>
    </xf>
    <xf numFmtId="3" fontId="9" fillId="3" borderId="12" xfId="0" applyNumberFormat="1" applyFont="1" applyFill="1" applyBorder="1"/>
    <xf numFmtId="0" fontId="9" fillId="12" borderId="1" xfId="0" applyFont="1" applyFill="1" applyBorder="1" applyAlignment="1">
      <alignment horizontal="center" vertical="center" wrapText="1"/>
    </xf>
    <xf numFmtId="0" fontId="9" fillId="12" borderId="1" xfId="0" applyFont="1" applyFill="1" applyBorder="1" applyAlignment="1">
      <alignment vertical="center" wrapText="1"/>
    </xf>
    <xf numFmtId="3" fontId="9" fillId="12" borderId="1" xfId="0" applyNumberFormat="1" applyFont="1" applyFill="1" applyBorder="1" applyAlignment="1">
      <alignment horizontal="right" vertical="center" wrapText="1"/>
    </xf>
    <xf numFmtId="9" fontId="9" fillId="12" borderId="1" xfId="0" applyNumberFormat="1"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3" borderId="1" xfId="0" applyFont="1" applyFill="1" applyBorder="1" applyAlignment="1">
      <alignment vertical="center" wrapText="1"/>
    </xf>
    <xf numFmtId="3" fontId="9" fillId="13" borderId="1" xfId="0" applyNumberFormat="1" applyFont="1" applyFill="1" applyBorder="1" applyAlignment="1">
      <alignment horizontal="right" vertical="center" wrapText="1"/>
    </xf>
    <xf numFmtId="9" fontId="9" fillId="13" borderId="1" xfId="0" applyNumberFormat="1" applyFont="1" applyFill="1" applyBorder="1" applyAlignment="1">
      <alignment horizontal="center" vertical="center" wrapText="1"/>
    </xf>
    <xf numFmtId="41" fontId="9" fillId="3" borderId="16" xfId="1" applyFont="1" applyFill="1" applyBorder="1" applyAlignment="1">
      <alignment horizontal="center"/>
    </xf>
    <xf numFmtId="41" fontId="9" fillId="3" borderId="10" xfId="1" applyFont="1" applyFill="1" applyBorder="1" applyAlignment="1">
      <alignment horizontal="center"/>
    </xf>
    <xf numFmtId="41" fontId="9" fillId="3" borderId="2" xfId="1" applyFont="1" applyFill="1" applyBorder="1" applyAlignment="1">
      <alignment horizontal="right"/>
    </xf>
    <xf numFmtId="41" fontId="9" fillId="3" borderId="2" xfId="0" applyNumberFormat="1" applyFont="1" applyFill="1" applyBorder="1"/>
    <xf numFmtId="0" fontId="21" fillId="3" borderId="12" xfId="0" applyFont="1" applyFill="1" applyBorder="1"/>
    <xf numFmtId="0" fontId="18" fillId="3" borderId="12" xfId="0" applyFont="1" applyFill="1" applyBorder="1"/>
    <xf numFmtId="41" fontId="18" fillId="3" borderId="4" xfId="1" applyFont="1" applyFill="1" applyBorder="1"/>
    <xf numFmtId="0" fontId="18" fillId="3" borderId="4" xfId="0" applyFont="1" applyFill="1" applyBorder="1"/>
    <xf numFmtId="41" fontId="18" fillId="3" borderId="12" xfId="0" applyNumberFormat="1" applyFont="1" applyFill="1" applyBorder="1"/>
    <xf numFmtId="3" fontId="18" fillId="3" borderId="12" xfId="0" applyNumberFormat="1" applyFont="1" applyFill="1" applyBorder="1"/>
    <xf numFmtId="0" fontId="3" fillId="3" borderId="6" xfId="0" applyFont="1" applyFill="1" applyBorder="1" applyAlignment="1">
      <alignment horizontal="left"/>
    </xf>
    <xf numFmtId="0" fontId="3" fillId="3" borderId="11" xfId="0" applyFont="1" applyFill="1" applyBorder="1" applyAlignment="1">
      <alignment horizontal="center"/>
    </xf>
    <xf numFmtId="41" fontId="18" fillId="3" borderId="2" xfId="1" applyFont="1" applyFill="1" applyBorder="1"/>
    <xf numFmtId="41" fontId="18" fillId="3" borderId="2" xfId="0" applyNumberFormat="1" applyFont="1" applyFill="1" applyBorder="1"/>
    <xf numFmtId="164" fontId="6" fillId="3" borderId="1" xfId="1" applyNumberFormat="1" applyFont="1" applyFill="1" applyBorder="1"/>
    <xf numFmtId="164" fontId="13" fillId="4" borderId="1" xfId="1" applyNumberFormat="1" applyFont="1" applyFill="1" applyBorder="1"/>
    <xf numFmtId="0" fontId="6" fillId="3" borderId="30" xfId="0" applyFont="1" applyFill="1" applyBorder="1"/>
    <xf numFmtId="164" fontId="6" fillId="3" borderId="30" xfId="1" applyNumberFormat="1" applyFont="1" applyFill="1" applyBorder="1"/>
    <xf numFmtId="164" fontId="6" fillId="3" borderId="30" xfId="1" applyNumberFormat="1" applyFont="1" applyFill="1" applyBorder="1" applyAlignment="1">
      <alignment horizontal="center"/>
    </xf>
    <xf numFmtId="164" fontId="13" fillId="3" borderId="30" xfId="1" applyNumberFormat="1" applyFont="1" applyFill="1" applyBorder="1"/>
    <xf numFmtId="164" fontId="6" fillId="3" borderId="15" xfId="1" applyNumberFormat="1" applyFont="1" applyFill="1" applyBorder="1"/>
    <xf numFmtId="0" fontId="7" fillId="3" borderId="26" xfId="0" applyFont="1" applyFill="1" applyBorder="1" applyAlignment="1">
      <alignment horizontal="center"/>
    </xf>
    <xf numFmtId="0" fontId="6" fillId="3" borderId="26" xfId="0" applyFont="1" applyFill="1" applyBorder="1"/>
    <xf numFmtId="41" fontId="6" fillId="3" borderId="10" xfId="1" applyFont="1" applyFill="1" applyBorder="1"/>
    <xf numFmtId="0" fontId="6" fillId="3" borderId="27" xfId="0" applyFont="1" applyFill="1" applyBorder="1"/>
    <xf numFmtId="164" fontId="6" fillId="3" borderId="28" xfId="1" applyNumberFormat="1" applyFont="1" applyFill="1" applyBorder="1" applyAlignment="1">
      <alignment horizontal="center"/>
    </xf>
    <xf numFmtId="164" fontId="13" fillId="3" borderId="28" xfId="1" applyNumberFormat="1" applyFont="1" applyFill="1" applyBorder="1"/>
    <xf numFmtId="41" fontId="6" fillId="3" borderId="5" xfId="1" applyFont="1" applyFill="1" applyBorder="1"/>
    <xf numFmtId="43" fontId="6" fillId="4" borderId="0" xfId="0" applyNumberFormat="1" applyFont="1" applyFill="1"/>
    <xf numFmtId="164" fontId="13" fillId="3" borderId="0" xfId="0" applyNumberFormat="1" applyFont="1" applyFill="1"/>
    <xf numFmtId="41" fontId="6" fillId="14" borderId="2" xfId="0" applyNumberFormat="1" applyFont="1" applyFill="1" applyBorder="1"/>
    <xf numFmtId="41" fontId="6" fillId="14" borderId="12" xfId="1" applyFont="1" applyFill="1" applyBorder="1"/>
    <xf numFmtId="0" fontId="6" fillId="4" borderId="9" xfId="0" applyFont="1" applyFill="1" applyBorder="1"/>
    <xf numFmtId="0" fontId="6" fillId="4" borderId="10" xfId="0" applyFont="1" applyFill="1" applyBorder="1"/>
    <xf numFmtId="41" fontId="6" fillId="4" borderId="0" xfId="0" applyNumberFormat="1" applyFont="1" applyFill="1"/>
    <xf numFmtId="41" fontId="6" fillId="4" borderId="12" xfId="1" applyFont="1" applyFill="1" applyBorder="1"/>
    <xf numFmtId="41" fontId="6" fillId="3" borderId="16" xfId="0" applyNumberFormat="1" applyFont="1" applyFill="1" applyBorder="1"/>
    <xf numFmtId="0" fontId="7" fillId="11" borderId="2" xfId="0" applyFont="1" applyFill="1" applyBorder="1" applyAlignment="1">
      <alignment horizontal="center"/>
    </xf>
    <xf numFmtId="41" fontId="6" fillId="3" borderId="4" xfId="0" applyNumberFormat="1" applyFont="1" applyFill="1" applyBorder="1"/>
    <xf numFmtId="0" fontId="5" fillId="4" borderId="1" xfId="0" applyFont="1" applyFill="1" applyBorder="1"/>
    <xf numFmtId="41" fontId="5" fillId="4" borderId="1" xfId="1" applyFont="1" applyFill="1" applyBorder="1"/>
    <xf numFmtId="3" fontId="8" fillId="3" borderId="0" xfId="0" applyNumberFormat="1" applyFont="1" applyFill="1" applyAlignment="1">
      <alignment horizontal="right" vertical="center" wrapText="1"/>
    </xf>
    <xf numFmtId="3" fontId="9" fillId="3" borderId="16" xfId="0" applyNumberFormat="1" applyFont="1" applyFill="1" applyBorder="1"/>
    <xf numFmtId="3" fontId="9" fillId="3" borderId="4" xfId="0" applyNumberFormat="1" applyFont="1" applyFill="1" applyBorder="1"/>
    <xf numFmtId="3" fontId="8" fillId="5" borderId="2" xfId="0" applyNumberFormat="1" applyFont="1" applyFill="1" applyBorder="1"/>
    <xf numFmtId="0" fontId="8" fillId="4" borderId="2" xfId="0" applyFont="1" applyFill="1" applyBorder="1"/>
    <xf numFmtId="0" fontId="9" fillId="3" borderId="14" xfId="0" applyFont="1" applyFill="1" applyBorder="1"/>
    <xf numFmtId="0" fontId="9" fillId="3" borderId="16" xfId="0" applyFont="1" applyFill="1" applyBorder="1"/>
    <xf numFmtId="0" fontId="9" fillId="4" borderId="0" xfId="0" applyFont="1" applyFill="1" applyAlignment="1">
      <alignment horizontal="center"/>
    </xf>
    <xf numFmtId="0" fontId="8" fillId="4" borderId="0" xfId="0" applyFont="1" applyFill="1" applyAlignment="1">
      <alignment horizontal="center"/>
    </xf>
    <xf numFmtId="0" fontId="8" fillId="4" borderId="0" xfId="0" applyFont="1" applyFill="1"/>
    <xf numFmtId="0" fontId="9" fillId="3" borderId="8" xfId="0" applyFont="1" applyFill="1" applyBorder="1"/>
    <xf numFmtId="0" fontId="9" fillId="3" borderId="3" xfId="0" applyFont="1" applyFill="1" applyBorder="1"/>
    <xf numFmtId="41" fontId="9" fillId="4" borderId="7" xfId="0" applyNumberFormat="1" applyFont="1" applyFill="1" applyBorder="1"/>
    <xf numFmtId="0" fontId="9" fillId="4" borderId="8" xfId="0" applyFont="1" applyFill="1" applyBorder="1"/>
    <xf numFmtId="0" fontId="9" fillId="4" borderId="3" xfId="0" applyFont="1" applyFill="1" applyBorder="1"/>
    <xf numFmtId="41" fontId="9" fillId="3" borderId="9" xfId="0" applyNumberFormat="1" applyFont="1" applyFill="1" applyBorder="1"/>
    <xf numFmtId="0" fontId="9" fillId="3" borderId="7" xfId="0" applyFont="1" applyFill="1" applyBorder="1"/>
    <xf numFmtId="41" fontId="3" fillId="4" borderId="1" xfId="1" applyFont="1" applyFill="1" applyBorder="1"/>
    <xf numFmtId="41" fontId="12" fillId="4" borderId="5" xfId="1" applyFont="1" applyFill="1" applyBorder="1" applyAlignment="1">
      <alignment horizontal="right" vertical="center" wrapText="1"/>
    </xf>
    <xf numFmtId="0" fontId="10" fillId="4" borderId="4" xfId="0" applyFont="1" applyFill="1" applyBorder="1" applyAlignment="1">
      <alignment vertical="center" wrapText="1"/>
    </xf>
    <xf numFmtId="0" fontId="10" fillId="4" borderId="5" xfId="0" applyFont="1" applyFill="1" applyBorder="1" applyAlignment="1">
      <alignment horizontal="center" vertical="center" wrapText="1"/>
    </xf>
    <xf numFmtId="3" fontId="10" fillId="4" borderId="5" xfId="0" applyNumberFormat="1" applyFont="1" applyFill="1" applyBorder="1" applyAlignment="1">
      <alignment horizontal="center" vertical="center" wrapText="1"/>
    </xf>
    <xf numFmtId="41" fontId="10" fillId="4" borderId="5" xfId="1" applyFont="1" applyFill="1" applyBorder="1" applyAlignment="1">
      <alignment horizontal="center" vertical="center" wrapText="1"/>
    </xf>
    <xf numFmtId="41" fontId="10" fillId="4" borderId="5" xfId="1" applyFont="1" applyFill="1" applyBorder="1" applyAlignment="1">
      <alignment horizontal="right" vertical="center" wrapText="1"/>
    </xf>
    <xf numFmtId="164" fontId="10" fillId="4" borderId="5" xfId="1" applyNumberFormat="1" applyFont="1" applyFill="1" applyBorder="1" applyAlignment="1">
      <alignment horizontal="center" vertical="center" wrapText="1"/>
    </xf>
    <xf numFmtId="41" fontId="10" fillId="12" borderId="5" xfId="1" applyFont="1" applyFill="1" applyBorder="1" applyAlignment="1">
      <alignment horizontal="center" vertical="center" wrapText="1"/>
    </xf>
    <xf numFmtId="41" fontId="3" fillId="12" borderId="0" xfId="0" applyNumberFormat="1" applyFont="1" applyFill="1"/>
    <xf numFmtId="41" fontId="3" fillId="0" borderId="16" xfId="1" applyFont="1" applyBorder="1"/>
    <xf numFmtId="41" fontId="3" fillId="0" borderId="2" xfId="1" applyFont="1" applyBorder="1"/>
    <xf numFmtId="41" fontId="3" fillId="3" borderId="2" xfId="1" applyFont="1" applyFill="1" applyBorder="1"/>
    <xf numFmtId="0" fontId="26" fillId="4" borderId="7" xfId="0" applyFont="1" applyFill="1" applyBorder="1" applyAlignment="1">
      <alignment horizontal="left" vertical="center" wrapText="1"/>
    </xf>
    <xf numFmtId="0" fontId="26" fillId="4" borderId="8"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3" xfId="0" applyFont="1" applyFill="1" applyBorder="1" applyAlignment="1">
      <alignment horizontal="center"/>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10"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 fillId="2" borderId="16"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2" fillId="4" borderId="16" xfId="0" applyFont="1" applyFill="1" applyBorder="1" applyAlignment="1">
      <alignment horizontal="justify" vertical="center" wrapText="1"/>
    </xf>
    <xf numFmtId="0" fontId="12" fillId="4" borderId="4" xfId="0" applyFont="1" applyFill="1" applyBorder="1" applyAlignment="1">
      <alignment horizontal="justify" vertical="center" wrapText="1"/>
    </xf>
    <xf numFmtId="41" fontId="10" fillId="4" borderId="16" xfId="1" applyFont="1" applyFill="1" applyBorder="1" applyAlignment="1">
      <alignment vertical="center" wrapText="1"/>
    </xf>
    <xf numFmtId="41" fontId="10" fillId="4" borderId="4" xfId="1" applyFont="1" applyFill="1" applyBorder="1" applyAlignment="1">
      <alignment vertical="center" wrapText="1"/>
    </xf>
    <xf numFmtId="9" fontId="10" fillId="4" borderId="16" xfId="1" applyNumberFormat="1" applyFont="1" applyFill="1" applyBorder="1" applyAlignment="1">
      <alignment horizontal="right" vertical="center" wrapText="1"/>
    </xf>
    <xf numFmtId="41" fontId="10" fillId="4" borderId="4" xfId="1" applyFont="1" applyFill="1" applyBorder="1" applyAlignment="1">
      <alignment horizontal="right" vertical="center" wrapText="1"/>
    </xf>
    <xf numFmtId="0" fontId="12" fillId="3" borderId="16" xfId="0" applyFont="1" applyFill="1" applyBorder="1" applyAlignment="1">
      <alignment horizontal="justify" vertical="center" wrapText="1"/>
    </xf>
    <xf numFmtId="0" fontId="12" fillId="3" borderId="4" xfId="0" applyFont="1" applyFill="1" applyBorder="1" applyAlignment="1">
      <alignment horizontal="justify" vertical="center" wrapText="1"/>
    </xf>
    <xf numFmtId="41" fontId="10" fillId="3" borderId="16" xfId="1" applyFont="1" applyFill="1" applyBorder="1" applyAlignment="1">
      <alignment horizontal="right" vertical="center" wrapText="1"/>
    </xf>
    <xf numFmtId="41" fontId="10" fillId="3" borderId="4" xfId="1" applyFont="1" applyFill="1" applyBorder="1" applyAlignment="1">
      <alignment horizontal="right" vertical="center" wrapText="1"/>
    </xf>
    <xf numFmtId="10" fontId="10" fillId="3" borderId="16" xfId="1" applyNumberFormat="1" applyFont="1" applyFill="1" applyBorder="1" applyAlignment="1">
      <alignment horizontal="right" vertical="center" wrapText="1"/>
    </xf>
    <xf numFmtId="0" fontId="29" fillId="4" borderId="14" xfId="0" applyFont="1" applyFill="1" applyBorder="1" applyAlignment="1">
      <alignment horizontal="center" vertical="center" wrapText="1"/>
    </xf>
    <xf numFmtId="0" fontId="29" fillId="4" borderId="15"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0"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5" xfId="0" applyFont="1" applyFill="1" applyBorder="1" applyAlignment="1">
      <alignment horizontal="center" vertical="center" wrapText="1"/>
    </xf>
    <xf numFmtId="41" fontId="10" fillId="4" borderId="16" xfId="1" applyFont="1" applyFill="1" applyBorder="1" applyAlignment="1">
      <alignment horizontal="right" vertical="center" wrapText="1"/>
    </xf>
    <xf numFmtId="41" fontId="10" fillId="3" borderId="16" xfId="1" applyFont="1" applyFill="1" applyBorder="1" applyAlignment="1">
      <alignment vertical="center" wrapText="1"/>
    </xf>
    <xf numFmtId="41" fontId="10" fillId="3" borderId="4" xfId="1" applyFont="1" applyFill="1" applyBorder="1" applyAlignment="1">
      <alignment vertical="center" wrapText="1"/>
    </xf>
    <xf numFmtId="9" fontId="2" fillId="2" borderId="1" xfId="1" applyNumberFormat="1" applyFont="1" applyFill="1" applyBorder="1" applyAlignment="1">
      <alignment horizontal="center"/>
    </xf>
    <xf numFmtId="41" fontId="2" fillId="2" borderId="1" xfId="1" applyFont="1" applyFill="1" applyBorder="1" applyAlignment="1">
      <alignment horizontal="center"/>
    </xf>
    <xf numFmtId="41" fontId="3" fillId="3" borderId="7" xfId="1" applyFont="1" applyFill="1" applyBorder="1" applyAlignment="1">
      <alignment horizontal="center"/>
    </xf>
    <xf numFmtId="41" fontId="3" fillId="3" borderId="3" xfId="1"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3" fillId="3" borderId="9" xfId="0" applyFont="1" applyFill="1" applyBorder="1" applyAlignment="1">
      <alignment horizontal="left" wrapText="1"/>
    </xf>
    <xf numFmtId="0" fontId="3" fillId="3" borderId="0" xfId="0" applyFont="1" applyFill="1" applyAlignment="1">
      <alignment horizontal="left" wrapText="1"/>
    </xf>
    <xf numFmtId="0" fontId="3" fillId="3" borderId="10" xfId="0" applyFont="1" applyFill="1" applyBorder="1" applyAlignment="1">
      <alignment horizontal="left" wrapText="1"/>
    </xf>
    <xf numFmtId="0" fontId="3" fillId="3" borderId="6" xfId="0" applyFont="1" applyFill="1" applyBorder="1" applyAlignment="1">
      <alignment horizontal="left" wrapText="1"/>
    </xf>
    <xf numFmtId="0" fontId="3" fillId="3" borderId="11" xfId="0" applyFont="1" applyFill="1" applyBorder="1" applyAlignment="1">
      <alignment horizontal="left" wrapText="1"/>
    </xf>
    <xf numFmtId="0" fontId="3" fillId="3" borderId="5" xfId="0" applyFont="1" applyFill="1" applyBorder="1" applyAlignment="1">
      <alignment horizontal="left"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10"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7" xfId="0" applyFont="1" applyFill="1" applyBorder="1" applyAlignment="1">
      <alignment horizontal="left"/>
    </xf>
    <xf numFmtId="0" fontId="8" fillId="3" borderId="8" xfId="0" applyFont="1" applyFill="1" applyBorder="1" applyAlignment="1">
      <alignment horizontal="left"/>
    </xf>
    <xf numFmtId="0" fontId="8" fillId="3" borderId="3" xfId="0" applyFont="1" applyFill="1" applyBorder="1" applyAlignment="1">
      <alignment horizontal="left"/>
    </xf>
    <xf numFmtId="0" fontId="9" fillId="3" borderId="7" xfId="0" applyFont="1" applyFill="1" applyBorder="1" applyAlignment="1">
      <alignment horizontal="left"/>
    </xf>
    <xf numFmtId="0" fontId="9" fillId="3" borderId="8" xfId="0" applyFont="1" applyFill="1" applyBorder="1" applyAlignment="1">
      <alignment horizontal="left"/>
    </xf>
    <xf numFmtId="0" fontId="9" fillId="3" borderId="3" xfId="0" applyFont="1" applyFill="1" applyBorder="1" applyAlignment="1">
      <alignment horizontal="left"/>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10"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8" fillId="3" borderId="9" xfId="0" applyFont="1" applyFill="1" applyBorder="1" applyAlignment="1">
      <alignment horizontal="left"/>
    </xf>
    <xf numFmtId="0" fontId="8" fillId="3" borderId="0" xfId="0" applyFont="1" applyFill="1" applyAlignment="1">
      <alignment horizontal="left"/>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3" xfId="0" applyFont="1" applyFill="1" applyBorder="1" applyAlignment="1">
      <alignment horizontal="center"/>
    </xf>
    <xf numFmtId="0" fontId="9" fillId="13" borderId="14" xfId="0" applyFont="1" applyFill="1" applyBorder="1" applyAlignment="1">
      <alignment horizontal="left" vertical="center" wrapText="1"/>
    </xf>
    <xf numFmtId="0" fontId="9" fillId="13" borderId="15" xfId="0" applyFont="1" applyFill="1" applyBorder="1" applyAlignment="1">
      <alignment horizontal="left" vertical="center" wrapText="1"/>
    </xf>
    <xf numFmtId="0" fontId="9" fillId="13" borderId="17" xfId="0" applyFont="1" applyFill="1" applyBorder="1" applyAlignment="1">
      <alignment horizontal="left" vertical="center" wrapText="1"/>
    </xf>
    <xf numFmtId="0" fontId="9" fillId="13" borderId="9" xfId="0" applyFont="1" applyFill="1" applyBorder="1" applyAlignment="1">
      <alignment horizontal="left" vertical="center" wrapText="1"/>
    </xf>
    <xf numFmtId="0" fontId="9" fillId="13" borderId="0" xfId="0" applyFont="1" applyFill="1" applyAlignment="1">
      <alignment horizontal="left" vertical="center" wrapText="1"/>
    </xf>
    <xf numFmtId="0" fontId="9" fillId="13" borderId="10" xfId="0" applyFont="1" applyFill="1" applyBorder="1" applyAlignment="1">
      <alignment horizontal="left" vertical="center" wrapText="1"/>
    </xf>
    <xf numFmtId="0" fontId="9" fillId="13" borderId="6" xfId="0" applyFont="1" applyFill="1" applyBorder="1" applyAlignment="1">
      <alignment horizontal="left" vertical="center" wrapText="1"/>
    </xf>
    <xf numFmtId="0" fontId="9" fillId="13" borderId="11" xfId="0" applyFont="1" applyFill="1" applyBorder="1" applyAlignment="1">
      <alignment horizontal="left" vertical="center" wrapText="1"/>
    </xf>
    <xf numFmtId="0" fontId="9" fillId="13" borderId="5"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3" xfId="0" applyFont="1" applyFill="1" applyBorder="1" applyAlignment="1">
      <alignment horizontal="left" vertical="center" wrapText="1"/>
    </xf>
    <xf numFmtId="41" fontId="9" fillId="3" borderId="0" xfId="1" applyFont="1" applyFill="1" applyAlignment="1">
      <alignment horizontal="center"/>
    </xf>
    <xf numFmtId="0" fontId="8" fillId="4" borderId="7" xfId="0" applyFont="1" applyFill="1" applyBorder="1" applyAlignment="1">
      <alignment horizontal="center"/>
    </xf>
    <xf numFmtId="0" fontId="8" fillId="4" borderId="3" xfId="0" applyFont="1" applyFill="1" applyBorder="1" applyAlignment="1">
      <alignment horizontal="center"/>
    </xf>
    <xf numFmtId="0" fontId="19" fillId="7" borderId="14" xfId="0" applyFont="1" applyFill="1" applyBorder="1" applyAlignment="1">
      <alignment horizontal="left" vertical="center" wrapText="1"/>
    </xf>
    <xf numFmtId="0" fontId="19" fillId="7" borderId="15" xfId="0" applyFont="1" applyFill="1" applyBorder="1" applyAlignment="1">
      <alignment horizontal="left" vertical="center" wrapText="1"/>
    </xf>
    <xf numFmtId="0" fontId="19" fillId="7" borderId="17" xfId="0" applyFont="1" applyFill="1" applyBorder="1" applyAlignment="1">
      <alignment horizontal="left" vertical="center" wrapText="1"/>
    </xf>
    <xf numFmtId="0" fontId="19" fillId="7" borderId="6" xfId="0" applyFont="1" applyFill="1" applyBorder="1" applyAlignment="1">
      <alignment horizontal="left" vertical="center" wrapText="1"/>
    </xf>
    <xf numFmtId="0" fontId="19" fillId="7" borderId="11"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20" fillId="7" borderId="16" xfId="0" applyFont="1" applyFill="1" applyBorder="1" applyAlignment="1">
      <alignment vertical="center" wrapText="1"/>
    </xf>
    <xf numFmtId="0" fontId="20" fillId="7" borderId="4" xfId="0" applyFont="1" applyFill="1" applyBorder="1" applyAlignment="1">
      <alignment vertical="center" wrapText="1"/>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20" fillId="7" borderId="14" xfId="0" applyFont="1" applyFill="1" applyBorder="1" applyAlignment="1">
      <alignment horizontal="center" vertical="center"/>
    </xf>
    <xf numFmtId="0" fontId="20" fillId="7" borderId="6" xfId="0" applyFont="1" applyFill="1" applyBorder="1" applyAlignment="1">
      <alignment horizontal="center" vertical="center"/>
    </xf>
    <xf numFmtId="0" fontId="20" fillId="7" borderId="17" xfId="0" applyFont="1" applyFill="1" applyBorder="1" applyAlignment="1">
      <alignment horizontal="center" vertical="center"/>
    </xf>
    <xf numFmtId="0" fontId="20" fillId="7" borderId="5" xfId="0" applyFont="1" applyFill="1" applyBorder="1" applyAlignment="1">
      <alignment horizontal="center" vertical="center"/>
    </xf>
    <xf numFmtId="0" fontId="20" fillId="7" borderId="36" xfId="0" applyFont="1" applyFill="1" applyBorder="1" applyAlignment="1">
      <alignment vertical="center" wrapText="1"/>
    </xf>
    <xf numFmtId="0" fontId="20" fillId="7" borderId="37" xfId="0" applyFont="1" applyFill="1" applyBorder="1" applyAlignment="1">
      <alignment vertical="center" wrapText="1"/>
    </xf>
    <xf numFmtId="0" fontId="20" fillId="7" borderId="16"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16" xfId="0" applyFont="1" applyFill="1" applyBorder="1" applyAlignment="1">
      <alignment horizontal="center" vertical="center"/>
    </xf>
    <xf numFmtId="0" fontId="20" fillId="7" borderId="4" xfId="0" applyFont="1" applyFill="1" applyBorder="1" applyAlignment="1">
      <alignment horizontal="center" vertical="center"/>
    </xf>
    <xf numFmtId="0" fontId="7" fillId="5" borderId="7" xfId="0" applyFont="1" applyFill="1" applyBorder="1" applyAlignment="1">
      <alignment horizontal="center"/>
    </xf>
    <xf numFmtId="0" fontId="7" fillId="5" borderId="8" xfId="0" applyFont="1" applyFill="1" applyBorder="1" applyAlignment="1">
      <alignment horizontal="center"/>
    </xf>
    <xf numFmtId="0" fontId="7" fillId="5" borderId="3" xfId="0" applyFont="1" applyFill="1" applyBorder="1" applyAlignment="1">
      <alignment horizontal="center"/>
    </xf>
    <xf numFmtId="0" fontId="13" fillId="3" borderId="0" xfId="0" applyFont="1" applyFill="1" applyAlignment="1">
      <alignment horizontal="center"/>
    </xf>
    <xf numFmtId="0" fontId="6" fillId="3" borderId="29" xfId="0" applyFont="1" applyFill="1" applyBorder="1" applyAlignment="1">
      <alignment horizontal="center"/>
    </xf>
    <xf numFmtId="0" fontId="6" fillId="3" borderId="0" xfId="0" applyFont="1" applyFill="1" applyAlignment="1">
      <alignment horizontal="center"/>
    </xf>
    <xf numFmtId="0" fontId="6" fillId="5" borderId="7" xfId="0" applyFont="1" applyFill="1" applyBorder="1" applyAlignment="1">
      <alignment horizontal="center"/>
    </xf>
    <xf numFmtId="0" fontId="6" fillId="5" borderId="8" xfId="0" applyFont="1" applyFill="1" applyBorder="1" applyAlignment="1">
      <alignment horizontal="center"/>
    </xf>
    <xf numFmtId="0" fontId="6" fillId="5" borderId="3" xfId="0" applyFont="1" applyFill="1" applyBorder="1" applyAlignment="1">
      <alignment horizontal="center"/>
    </xf>
    <xf numFmtId="0" fontId="6" fillId="3" borderId="31" xfId="0" applyFont="1" applyFill="1" applyBorder="1" applyAlignment="1">
      <alignment horizontal="center"/>
    </xf>
    <xf numFmtId="0" fontId="6" fillId="3" borderId="7" xfId="0" applyFont="1" applyFill="1" applyBorder="1" applyAlignment="1">
      <alignment horizontal="center"/>
    </xf>
    <xf numFmtId="0" fontId="6" fillId="3" borderId="3" xfId="0" applyFont="1" applyFill="1" applyBorder="1" applyAlignment="1">
      <alignment horizontal="center"/>
    </xf>
    <xf numFmtId="0" fontId="9" fillId="0" borderId="14" xfId="0" applyFont="1" applyBorder="1" applyAlignment="1">
      <alignment horizontal="left" wrapText="1"/>
    </xf>
    <xf numFmtId="0" fontId="9" fillId="0" borderId="15" xfId="0" applyFont="1" applyBorder="1" applyAlignment="1">
      <alignment horizontal="left" wrapText="1"/>
    </xf>
    <xf numFmtId="0" fontId="9" fillId="0" borderId="17" xfId="0" applyFont="1" applyBorder="1" applyAlignment="1">
      <alignment horizontal="left" wrapText="1"/>
    </xf>
    <xf numFmtId="0" fontId="9" fillId="0" borderId="9" xfId="0" applyFont="1" applyBorder="1" applyAlignment="1">
      <alignment horizontal="left" wrapText="1"/>
    </xf>
    <xf numFmtId="0" fontId="9" fillId="0" borderId="0" xfId="0" applyFont="1" applyAlignment="1">
      <alignment horizontal="left" wrapText="1"/>
    </xf>
    <xf numFmtId="0" fontId="9" fillId="0" borderId="10" xfId="0" applyFont="1" applyBorder="1" applyAlignment="1">
      <alignment horizontal="left" wrapText="1"/>
    </xf>
    <xf numFmtId="0" fontId="9" fillId="0" borderId="6" xfId="0" applyFont="1" applyBorder="1" applyAlignment="1">
      <alignment horizontal="left" wrapText="1"/>
    </xf>
    <xf numFmtId="0" fontId="9" fillId="0" borderId="11" xfId="0" applyFont="1" applyBorder="1" applyAlignment="1">
      <alignment horizontal="left" wrapText="1"/>
    </xf>
    <xf numFmtId="0" fontId="9" fillId="0" borderId="5" xfId="0" applyFont="1" applyBorder="1" applyAlignment="1">
      <alignment horizontal="left" wrapText="1"/>
    </xf>
    <xf numFmtId="0" fontId="2" fillId="2" borderId="8" xfId="0" applyFont="1" applyFill="1" applyBorder="1" applyAlignment="1">
      <alignment horizontal="center"/>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4" borderId="14" xfId="0" applyFont="1" applyFill="1" applyBorder="1" applyAlignment="1">
      <alignment horizontal="center"/>
    </xf>
    <xf numFmtId="0" fontId="8" fillId="4" borderId="17" xfId="0" applyFont="1" applyFill="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12" fillId="2" borderId="16"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5" xfId="0" applyFont="1" applyFill="1" applyBorder="1" applyAlignment="1">
      <alignment horizontal="center" vertical="center" wrapText="1"/>
    </xf>
    <xf numFmtId="41" fontId="12" fillId="2" borderId="7" xfId="1" applyFont="1" applyFill="1" applyBorder="1" applyAlignment="1">
      <alignment horizontal="center" vertical="center" wrapText="1"/>
    </xf>
    <xf numFmtId="41" fontId="12" fillId="2" borderId="8" xfId="1" applyFont="1" applyFill="1" applyBorder="1" applyAlignment="1">
      <alignment horizontal="center" vertical="center" wrapText="1"/>
    </xf>
    <xf numFmtId="41" fontId="12" fillId="2" borderId="23" xfId="1" applyFont="1" applyFill="1" applyBorder="1" applyAlignment="1">
      <alignment horizontal="center"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342900</xdr:colOff>
      <xdr:row>1</xdr:row>
      <xdr:rowOff>38100</xdr:rowOff>
    </xdr:from>
    <xdr:to>
      <xdr:col>18</xdr:col>
      <xdr:colOff>252099</xdr:colOff>
      <xdr:row>11</xdr:row>
      <xdr:rowOff>158850</xdr:rowOff>
    </xdr:to>
    <xdr:pic>
      <xdr:nvPicPr>
        <xdr:cNvPr id="2" name="Imagen 1">
          <a:extLst>
            <a:ext uri="{FF2B5EF4-FFF2-40B4-BE49-F238E27FC236}">
              <a16:creationId xmlns:a16="http://schemas.microsoft.com/office/drawing/2014/main" id="{A470A39A-0C6A-482D-8E85-83355588E3BA}"/>
            </a:ext>
          </a:extLst>
        </xdr:cNvPr>
        <xdr:cNvPicPr>
          <a:picLocks noChangeAspect="1"/>
        </xdr:cNvPicPr>
      </xdr:nvPicPr>
      <xdr:blipFill>
        <a:blip xmlns:r="http://schemas.openxmlformats.org/officeDocument/2006/relationships" r:embed="rId1"/>
        <a:stretch>
          <a:fillRect/>
        </a:stretch>
      </xdr:blipFill>
      <xdr:spPr>
        <a:xfrm>
          <a:off x="9457592" y="237392"/>
          <a:ext cx="7353353" cy="2523981"/>
        </a:xfrm>
        <a:prstGeom prst="rect">
          <a:avLst/>
        </a:prstGeom>
      </xdr:spPr>
    </xdr:pic>
    <xdr:clientData/>
  </xdr:twoCellAnchor>
  <xdr:twoCellAnchor>
    <xdr:from>
      <xdr:col>8</xdr:col>
      <xdr:colOff>246185</xdr:colOff>
      <xdr:row>5</xdr:row>
      <xdr:rowOff>205154</xdr:rowOff>
    </xdr:from>
    <xdr:to>
      <xdr:col>18</xdr:col>
      <xdr:colOff>345831</xdr:colOff>
      <xdr:row>7</xdr:row>
      <xdr:rowOff>181709</xdr:rowOff>
    </xdr:to>
    <xdr:sp macro="" textlink="">
      <xdr:nvSpPr>
        <xdr:cNvPr id="3" name="Rectángulo 2">
          <a:extLst>
            <a:ext uri="{FF2B5EF4-FFF2-40B4-BE49-F238E27FC236}">
              <a16:creationId xmlns:a16="http://schemas.microsoft.com/office/drawing/2014/main" id="{D43384EC-2F80-CE48-D578-3B1E32B1FE51}"/>
            </a:ext>
          </a:extLst>
        </xdr:cNvPr>
        <xdr:cNvSpPr/>
      </xdr:nvSpPr>
      <xdr:spPr>
        <a:xfrm>
          <a:off x="9360877" y="1260231"/>
          <a:ext cx="7543800" cy="492370"/>
        </a:xfrm>
        <a:prstGeom prst="rect">
          <a:avLst/>
        </a:prstGeom>
        <a:noFill/>
        <a:ln w="317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8</xdr:col>
      <xdr:colOff>234461</xdr:colOff>
      <xdr:row>7</xdr:row>
      <xdr:rowOff>175846</xdr:rowOff>
    </xdr:from>
    <xdr:to>
      <xdr:col>18</xdr:col>
      <xdr:colOff>334107</xdr:colOff>
      <xdr:row>9</xdr:row>
      <xdr:rowOff>152400</xdr:rowOff>
    </xdr:to>
    <xdr:sp macro="" textlink="">
      <xdr:nvSpPr>
        <xdr:cNvPr id="4" name="Rectángulo 3">
          <a:extLst>
            <a:ext uri="{FF2B5EF4-FFF2-40B4-BE49-F238E27FC236}">
              <a16:creationId xmlns:a16="http://schemas.microsoft.com/office/drawing/2014/main" id="{4D6F89E7-1A27-46AF-B8C8-AE4B95869E4A}"/>
            </a:ext>
          </a:extLst>
        </xdr:cNvPr>
        <xdr:cNvSpPr/>
      </xdr:nvSpPr>
      <xdr:spPr>
        <a:xfrm>
          <a:off x="9349153" y="1746738"/>
          <a:ext cx="7543800" cy="492370"/>
        </a:xfrm>
        <a:prstGeom prst="rect">
          <a:avLst/>
        </a:prstGeom>
        <a:noFill/>
        <a:ln w="317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8</xdr:col>
      <xdr:colOff>243254</xdr:colOff>
      <xdr:row>3</xdr:row>
      <xdr:rowOff>149469</xdr:rowOff>
    </xdr:from>
    <xdr:to>
      <xdr:col>18</xdr:col>
      <xdr:colOff>342900</xdr:colOff>
      <xdr:row>5</xdr:row>
      <xdr:rowOff>184639</xdr:rowOff>
    </xdr:to>
    <xdr:sp macro="" textlink="">
      <xdr:nvSpPr>
        <xdr:cNvPr id="5" name="Rectángulo 4">
          <a:extLst>
            <a:ext uri="{FF2B5EF4-FFF2-40B4-BE49-F238E27FC236}">
              <a16:creationId xmlns:a16="http://schemas.microsoft.com/office/drawing/2014/main" id="{39623514-C353-4B2C-983E-F8E312FE677D}"/>
            </a:ext>
          </a:extLst>
        </xdr:cNvPr>
        <xdr:cNvSpPr/>
      </xdr:nvSpPr>
      <xdr:spPr>
        <a:xfrm>
          <a:off x="9357946" y="747346"/>
          <a:ext cx="7543800" cy="492370"/>
        </a:xfrm>
        <a:prstGeom prst="rect">
          <a:avLst/>
        </a:prstGeom>
        <a:noFill/>
        <a:ln w="317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8</xdr:col>
      <xdr:colOff>228600</xdr:colOff>
      <xdr:row>9</xdr:row>
      <xdr:rowOff>152399</xdr:rowOff>
    </xdr:from>
    <xdr:to>
      <xdr:col>18</xdr:col>
      <xdr:colOff>328246</xdr:colOff>
      <xdr:row>11</xdr:row>
      <xdr:rowOff>128954</xdr:rowOff>
    </xdr:to>
    <xdr:sp macro="" textlink="">
      <xdr:nvSpPr>
        <xdr:cNvPr id="6" name="Rectángulo 5">
          <a:extLst>
            <a:ext uri="{FF2B5EF4-FFF2-40B4-BE49-F238E27FC236}">
              <a16:creationId xmlns:a16="http://schemas.microsoft.com/office/drawing/2014/main" id="{DD6D34FC-EE79-4596-9ADD-5EF32474B625}"/>
            </a:ext>
          </a:extLst>
        </xdr:cNvPr>
        <xdr:cNvSpPr/>
      </xdr:nvSpPr>
      <xdr:spPr>
        <a:xfrm>
          <a:off x="9343292" y="2239107"/>
          <a:ext cx="7543800" cy="492370"/>
        </a:xfrm>
        <a:prstGeom prst="rect">
          <a:avLst/>
        </a:prstGeom>
        <a:noFill/>
        <a:ln w="317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474133</xdr:colOff>
      <xdr:row>5</xdr:row>
      <xdr:rowOff>5711</xdr:rowOff>
    </xdr:from>
    <xdr:to>
      <xdr:col>11</xdr:col>
      <xdr:colOff>379224</xdr:colOff>
      <xdr:row>13</xdr:row>
      <xdr:rowOff>62853</xdr:rowOff>
    </xdr:to>
    <xdr:pic>
      <xdr:nvPicPr>
        <xdr:cNvPr id="2" name="Imagen 1">
          <a:extLst>
            <a:ext uri="{FF2B5EF4-FFF2-40B4-BE49-F238E27FC236}">
              <a16:creationId xmlns:a16="http://schemas.microsoft.com/office/drawing/2014/main" id="{7AD44893-482A-6552-E534-F48775677C2A}"/>
            </a:ext>
          </a:extLst>
        </xdr:cNvPr>
        <xdr:cNvPicPr>
          <a:picLocks noChangeAspect="1"/>
        </xdr:cNvPicPr>
      </xdr:nvPicPr>
      <xdr:blipFill>
        <a:blip xmlns:r="http://schemas.openxmlformats.org/officeDocument/2006/relationships" r:embed="rId1"/>
        <a:stretch>
          <a:fillRect/>
        </a:stretch>
      </xdr:blipFill>
      <xdr:spPr>
        <a:xfrm>
          <a:off x="3877733" y="890478"/>
          <a:ext cx="4654891" cy="1479542"/>
        </a:xfrm>
        <a:prstGeom prst="rect">
          <a:avLst/>
        </a:prstGeom>
        <a:ln w="22225">
          <a:solidFill>
            <a:srgbClr val="FF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789215</xdr:colOff>
      <xdr:row>5</xdr:row>
      <xdr:rowOff>65313</xdr:rowOff>
    </xdr:from>
    <xdr:to>
      <xdr:col>8</xdr:col>
      <xdr:colOff>616291</xdr:colOff>
      <xdr:row>13</xdr:row>
      <xdr:rowOff>140598</xdr:rowOff>
    </xdr:to>
    <xdr:pic>
      <xdr:nvPicPr>
        <xdr:cNvPr id="2" name="Imagen 1">
          <a:extLst>
            <a:ext uri="{FF2B5EF4-FFF2-40B4-BE49-F238E27FC236}">
              <a16:creationId xmlns:a16="http://schemas.microsoft.com/office/drawing/2014/main" id="{160CDDFA-AF90-4D04-BC72-03C8BCCA88B1}"/>
            </a:ext>
          </a:extLst>
        </xdr:cNvPr>
        <xdr:cNvPicPr>
          <a:picLocks noChangeAspect="1"/>
        </xdr:cNvPicPr>
      </xdr:nvPicPr>
      <xdr:blipFill>
        <a:blip xmlns:r="http://schemas.openxmlformats.org/officeDocument/2006/relationships" r:embed="rId1"/>
        <a:stretch>
          <a:fillRect/>
        </a:stretch>
      </xdr:blipFill>
      <xdr:spPr>
        <a:xfrm>
          <a:off x="4582886" y="767442"/>
          <a:ext cx="4654891" cy="1479542"/>
        </a:xfrm>
        <a:prstGeom prst="rect">
          <a:avLst/>
        </a:prstGeom>
        <a:ln w="22225">
          <a:solidFill>
            <a:srgbClr val="FF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11</xdr:row>
      <xdr:rowOff>153865</xdr:rowOff>
    </xdr:from>
    <xdr:to>
      <xdr:col>11</xdr:col>
      <xdr:colOff>710711</xdr:colOff>
      <xdr:row>12</xdr:row>
      <xdr:rowOff>143363</xdr:rowOff>
    </xdr:to>
    <xdr:sp macro="" textlink="">
      <xdr:nvSpPr>
        <xdr:cNvPr id="2" name="Cerrar llave 1">
          <a:extLst>
            <a:ext uri="{FF2B5EF4-FFF2-40B4-BE49-F238E27FC236}">
              <a16:creationId xmlns:a16="http://schemas.microsoft.com/office/drawing/2014/main" id="{6FBC1BE9-7E0E-44AE-9F59-E8898D521A7D}"/>
            </a:ext>
          </a:extLst>
        </xdr:cNvPr>
        <xdr:cNvSpPr/>
      </xdr:nvSpPr>
      <xdr:spPr>
        <a:xfrm rot="16200000">
          <a:off x="7308142" y="-902067"/>
          <a:ext cx="210478" cy="7275341"/>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6</xdr:col>
      <xdr:colOff>307731</xdr:colOff>
      <xdr:row>19</xdr:row>
      <xdr:rowOff>165348</xdr:rowOff>
    </xdr:from>
    <xdr:to>
      <xdr:col>10</xdr:col>
      <xdr:colOff>634268</xdr:colOff>
      <xdr:row>20</xdr:row>
      <xdr:rowOff>165347</xdr:rowOff>
    </xdr:to>
    <xdr:sp macro="" textlink="">
      <xdr:nvSpPr>
        <xdr:cNvPr id="3" name="Cerrar llave 2">
          <a:extLst>
            <a:ext uri="{FF2B5EF4-FFF2-40B4-BE49-F238E27FC236}">
              <a16:creationId xmlns:a16="http://schemas.microsoft.com/office/drawing/2014/main" id="{CF86E05B-B7B8-490F-93CF-01EE0D0E5A1D}"/>
            </a:ext>
          </a:extLst>
        </xdr:cNvPr>
        <xdr:cNvSpPr/>
      </xdr:nvSpPr>
      <xdr:spPr>
        <a:xfrm rot="5400000">
          <a:off x="7542360" y="2189019"/>
          <a:ext cx="220979" cy="473851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4</xdr:col>
      <xdr:colOff>732691</xdr:colOff>
      <xdr:row>17</xdr:row>
      <xdr:rowOff>114056</xdr:rowOff>
    </xdr:from>
    <xdr:to>
      <xdr:col>8</xdr:col>
      <xdr:colOff>84747</xdr:colOff>
      <xdr:row>18</xdr:row>
      <xdr:rowOff>139212</xdr:rowOff>
    </xdr:to>
    <xdr:sp macro="" textlink="">
      <xdr:nvSpPr>
        <xdr:cNvPr id="4" name="Cerrar llave 3">
          <a:extLst>
            <a:ext uri="{FF2B5EF4-FFF2-40B4-BE49-F238E27FC236}">
              <a16:creationId xmlns:a16="http://schemas.microsoft.com/office/drawing/2014/main" id="{296ABEBD-6906-432D-B74D-B644330842D5}"/>
            </a:ext>
          </a:extLst>
        </xdr:cNvPr>
        <xdr:cNvSpPr/>
      </xdr:nvSpPr>
      <xdr:spPr>
        <a:xfrm rot="5400000">
          <a:off x="5444391" y="2062236"/>
          <a:ext cx="253756" cy="4023116"/>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65CFD-3568-41D5-94DA-B9728988EE83}">
  <dimension ref="B1:J2"/>
  <sheetViews>
    <sheetView workbookViewId="0">
      <selection activeCell="C15" sqref="C15"/>
    </sheetView>
  </sheetViews>
  <sheetFormatPr baseColWidth="10" defaultColWidth="10.86328125" defaultRowHeight="15" x14ac:dyDescent="0.4"/>
  <cols>
    <col min="1" max="1" width="2.46484375" style="4" customWidth="1"/>
    <col min="2" max="2" width="12.46484375" style="4" customWidth="1"/>
    <col min="3" max="3" width="19.86328125" style="5" bestFit="1" customWidth="1"/>
    <col min="4" max="4" width="13.796875" style="4" bestFit="1" customWidth="1"/>
    <col min="5" max="6" width="13.796875" style="4" customWidth="1"/>
    <col min="7" max="16384" width="10.86328125" style="4"/>
  </cols>
  <sheetData>
    <row r="1" spans="2:10" ht="15.4" thickBot="1" x14ac:dyDescent="0.45"/>
    <row r="2" spans="2:10" ht="45" customHeight="1" thickBot="1" x14ac:dyDescent="0.45">
      <c r="B2" s="256" t="s">
        <v>13</v>
      </c>
      <c r="C2" s="431" t="s">
        <v>295</v>
      </c>
      <c r="D2" s="432"/>
      <c r="E2" s="432"/>
      <c r="F2" s="432"/>
      <c r="G2" s="432"/>
      <c r="H2" s="432"/>
      <c r="I2" s="432"/>
      <c r="J2" s="433"/>
    </row>
  </sheetData>
  <mergeCells count="1">
    <mergeCell ref="C2:J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8680E-1F58-409D-B59F-85B677F018E0}">
  <dimension ref="A1:K157"/>
  <sheetViews>
    <sheetView zoomScale="130" zoomScaleNormal="130" workbookViewId="0">
      <selection activeCell="D161" sqref="D161"/>
    </sheetView>
  </sheetViews>
  <sheetFormatPr baseColWidth="10" defaultColWidth="11.53125" defaultRowHeight="13.5" x14ac:dyDescent="0.35"/>
  <cols>
    <col min="1" max="1" width="4.1328125" style="15" customWidth="1"/>
    <col min="2" max="2" width="25.19921875" style="15" customWidth="1"/>
    <col min="3" max="3" width="17.46484375" style="15" customWidth="1"/>
    <col min="4" max="4" width="18.46484375" style="15" customWidth="1"/>
    <col min="5" max="5" width="23.53125" style="15" bestFit="1" customWidth="1"/>
    <col min="6" max="7" width="18.796875" style="15" customWidth="1"/>
    <col min="8" max="8" width="13.53125" style="15" bestFit="1" customWidth="1"/>
    <col min="9" max="9" width="8.1328125" style="15" customWidth="1"/>
    <col min="10" max="10" width="1.796875" style="15" customWidth="1"/>
    <col min="11" max="11" width="14.46484375" style="15" bestFit="1" customWidth="1"/>
    <col min="12" max="16384" width="11.53125" style="15"/>
  </cols>
  <sheetData>
    <row r="1" spans="1:11" ht="13.9" thickBot="1" x14ac:dyDescent="0.4">
      <c r="B1" s="493" t="s">
        <v>121</v>
      </c>
      <c r="C1" s="494"/>
      <c r="D1" s="494"/>
      <c r="E1" s="495"/>
    </row>
    <row r="2" spans="1:11" ht="13.9" thickBot="1" x14ac:dyDescent="0.4"/>
    <row r="3" spans="1:11" ht="13.9" thickBot="1" x14ac:dyDescent="0.4">
      <c r="A3" s="61">
        <v>4</v>
      </c>
      <c r="B3" s="508" t="s">
        <v>123</v>
      </c>
      <c r="C3" s="509"/>
      <c r="D3" s="509"/>
      <c r="E3" s="509"/>
      <c r="F3" s="509"/>
      <c r="G3" s="509"/>
      <c r="H3" s="509"/>
      <c r="I3" s="509"/>
      <c r="J3" s="509"/>
      <c r="K3" s="509"/>
    </row>
    <row r="4" spans="1:11" ht="13.9" thickBot="1" x14ac:dyDescent="0.4"/>
    <row r="5" spans="1:11" ht="13.9" thickBot="1" x14ac:dyDescent="0.4">
      <c r="B5" s="496" t="s">
        <v>246</v>
      </c>
      <c r="C5" s="497"/>
      <c r="D5" s="497"/>
      <c r="E5" s="497"/>
      <c r="F5" s="497"/>
      <c r="G5" s="497"/>
      <c r="H5" s="497"/>
      <c r="I5" s="497"/>
      <c r="J5" s="497"/>
      <c r="K5" s="498"/>
    </row>
    <row r="6" spans="1:11" ht="13.9" thickBot="1" x14ac:dyDescent="0.4"/>
    <row r="7" spans="1:11" ht="15" customHeight="1" thickBot="1" x14ac:dyDescent="0.4">
      <c r="B7" s="528" t="s">
        <v>1</v>
      </c>
      <c r="C7" s="529"/>
      <c r="D7" s="317" t="s">
        <v>292</v>
      </c>
      <c r="E7" s="317" t="s">
        <v>293</v>
      </c>
      <c r="F7" s="317" t="s">
        <v>294</v>
      </c>
    </row>
    <row r="8" spans="1:11" ht="7.8" customHeight="1" x14ac:dyDescent="0.35">
      <c r="B8" s="311"/>
      <c r="C8" s="312"/>
      <c r="D8" s="90"/>
      <c r="E8" s="90"/>
      <c r="F8" s="90"/>
    </row>
    <row r="9" spans="1:11" x14ac:dyDescent="0.35">
      <c r="B9" s="311" t="str">
        <f>+BCE!E21</f>
        <v>PIAS</v>
      </c>
      <c r="C9" s="312"/>
      <c r="D9" s="337">
        <f>+BCE!F21</f>
        <v>40000000</v>
      </c>
      <c r="E9" s="337">
        <f>++D9</f>
        <v>40000000</v>
      </c>
      <c r="F9" s="337">
        <f>+D9-E9</f>
        <v>0</v>
      </c>
    </row>
    <row r="10" spans="1:11" ht="9.6" customHeight="1" thickBot="1" x14ac:dyDescent="0.4">
      <c r="B10" s="313"/>
      <c r="C10" s="314"/>
      <c r="D10" s="91"/>
      <c r="E10" s="91"/>
      <c r="F10" s="91"/>
    </row>
    <row r="11" spans="1:11" ht="13.9" thickBot="1" x14ac:dyDescent="0.4"/>
    <row r="12" spans="1:11" ht="14.45" customHeight="1" x14ac:dyDescent="0.35">
      <c r="B12" s="499" t="s">
        <v>305</v>
      </c>
      <c r="C12" s="500"/>
      <c r="D12" s="500"/>
      <c r="E12" s="500"/>
      <c r="F12" s="500"/>
      <c r="G12" s="500"/>
      <c r="H12" s="500"/>
      <c r="I12" s="500"/>
      <c r="J12" s="500"/>
      <c r="K12" s="501"/>
    </row>
    <row r="13" spans="1:11" ht="13.9" thickBot="1" x14ac:dyDescent="0.4">
      <c r="B13" s="505"/>
      <c r="C13" s="506"/>
      <c r="D13" s="506"/>
      <c r="E13" s="506"/>
      <c r="F13" s="506"/>
      <c r="G13" s="506"/>
      <c r="H13" s="506"/>
      <c r="I13" s="506"/>
      <c r="J13" s="506"/>
      <c r="K13" s="507"/>
    </row>
    <row r="14" spans="1:11" ht="13.9" thickBot="1" x14ac:dyDescent="0.4"/>
    <row r="15" spans="1:11" ht="13.9" thickBot="1" x14ac:dyDescent="0.4">
      <c r="C15" s="510" t="s">
        <v>124</v>
      </c>
      <c r="D15" s="511"/>
      <c r="E15" s="512"/>
    </row>
    <row r="16" spans="1:11" ht="13.9" thickBot="1" x14ac:dyDescent="0.4">
      <c r="B16" s="67" t="s">
        <v>1</v>
      </c>
      <c r="C16" s="62" t="s">
        <v>55</v>
      </c>
      <c r="D16" s="61" t="s">
        <v>54</v>
      </c>
      <c r="E16" s="63" t="s">
        <v>53</v>
      </c>
      <c r="F16" s="63" t="s">
        <v>125</v>
      </c>
      <c r="G16" s="63" t="s">
        <v>126</v>
      </c>
      <c r="H16" s="63" t="s">
        <v>127</v>
      </c>
      <c r="I16" s="63" t="s">
        <v>0</v>
      </c>
      <c r="K16" s="61" t="s">
        <v>125</v>
      </c>
    </row>
    <row r="17" spans="2:11" ht="13.9" thickBot="1" x14ac:dyDescent="0.4">
      <c r="B17" s="272" t="s">
        <v>238</v>
      </c>
      <c r="C17" s="273">
        <v>2800000</v>
      </c>
      <c r="D17" s="274">
        <v>2700000</v>
      </c>
      <c r="E17" s="275">
        <v>2800000</v>
      </c>
      <c r="F17" s="345">
        <f>ROUND(+(C17+D17+E17)/3,0)</f>
        <v>2766667</v>
      </c>
      <c r="G17" s="346">
        <f>ROUND(+F17/30,0)</f>
        <v>92222</v>
      </c>
      <c r="H17" s="280">
        <v>13</v>
      </c>
      <c r="I17" s="63">
        <f>+H17*1.25</f>
        <v>16.25</v>
      </c>
      <c r="K17" s="347">
        <f>ROUND(+G17*I17,0)</f>
        <v>1498608</v>
      </c>
    </row>
    <row r="18" spans="2:11" ht="13.9" thickBot="1" x14ac:dyDescent="0.4">
      <c r="B18" s="272" t="s">
        <v>239</v>
      </c>
      <c r="C18" s="273">
        <v>2100000</v>
      </c>
      <c r="D18" s="274">
        <v>2900000</v>
      </c>
      <c r="E18" s="275">
        <v>2700000</v>
      </c>
      <c r="F18" s="345">
        <f t="shared" ref="F18:F25" si="0">ROUND(+(C18+D18+E18)/3,0)</f>
        <v>2566667</v>
      </c>
      <c r="G18" s="346">
        <f t="shared" ref="G18:G25" si="1">ROUND(+F18/30,0)</f>
        <v>85556</v>
      </c>
      <c r="H18" s="280">
        <v>16</v>
      </c>
      <c r="I18" s="63">
        <f t="shared" ref="I18:I25" si="2">+H18*1.25</f>
        <v>20</v>
      </c>
      <c r="K18" s="347">
        <f t="shared" ref="K18:K25" si="3">ROUND(+G18*I18,0)</f>
        <v>1711120</v>
      </c>
    </row>
    <row r="19" spans="2:11" ht="13.9" thickBot="1" x14ac:dyDescent="0.4">
      <c r="B19" s="272" t="s">
        <v>240</v>
      </c>
      <c r="C19" s="273">
        <v>1900000</v>
      </c>
      <c r="D19" s="274">
        <v>1540000</v>
      </c>
      <c r="E19" s="275">
        <v>1840000</v>
      </c>
      <c r="F19" s="345">
        <f t="shared" si="0"/>
        <v>1760000</v>
      </c>
      <c r="G19" s="346">
        <f t="shared" si="1"/>
        <v>58667</v>
      </c>
      <c r="H19" s="280">
        <v>9</v>
      </c>
      <c r="I19" s="63">
        <f t="shared" si="2"/>
        <v>11.25</v>
      </c>
      <c r="K19" s="347">
        <f t="shared" si="3"/>
        <v>660004</v>
      </c>
    </row>
    <row r="20" spans="2:11" ht="13.9" thickBot="1" x14ac:dyDescent="0.4">
      <c r="B20" s="272" t="s">
        <v>241</v>
      </c>
      <c r="C20" s="273">
        <v>1200000</v>
      </c>
      <c r="D20" s="274">
        <v>1200000</v>
      </c>
      <c r="E20" s="275">
        <v>1700000</v>
      </c>
      <c r="F20" s="345">
        <f t="shared" si="0"/>
        <v>1366667</v>
      </c>
      <c r="G20" s="346">
        <f t="shared" si="1"/>
        <v>45556</v>
      </c>
      <c r="H20" s="280">
        <v>15</v>
      </c>
      <c r="I20" s="63">
        <f t="shared" si="2"/>
        <v>18.75</v>
      </c>
      <c r="K20" s="347">
        <f t="shared" si="3"/>
        <v>854175</v>
      </c>
    </row>
    <row r="21" spans="2:11" ht="13.9" thickBot="1" x14ac:dyDescent="0.4">
      <c r="B21" s="272" t="s">
        <v>242</v>
      </c>
      <c r="C21" s="273">
        <v>1200000</v>
      </c>
      <c r="D21" s="274">
        <v>2000000</v>
      </c>
      <c r="E21" s="275">
        <v>1300000</v>
      </c>
      <c r="F21" s="345">
        <f t="shared" si="0"/>
        <v>1500000</v>
      </c>
      <c r="G21" s="346">
        <f t="shared" si="1"/>
        <v>50000</v>
      </c>
      <c r="H21" s="280">
        <v>18</v>
      </c>
      <c r="I21" s="63">
        <f t="shared" si="2"/>
        <v>22.5</v>
      </c>
      <c r="K21" s="347">
        <f t="shared" si="3"/>
        <v>1125000</v>
      </c>
    </row>
    <row r="22" spans="2:11" ht="13.9" thickBot="1" x14ac:dyDescent="0.4">
      <c r="B22" s="272" t="s">
        <v>243</v>
      </c>
      <c r="C22" s="273">
        <v>1950000</v>
      </c>
      <c r="D22" s="274">
        <v>1700000</v>
      </c>
      <c r="E22" s="275">
        <v>2250000</v>
      </c>
      <c r="F22" s="345">
        <f t="shared" si="0"/>
        <v>1966667</v>
      </c>
      <c r="G22" s="346">
        <f t="shared" si="1"/>
        <v>65556</v>
      </c>
      <c r="H22" s="280">
        <v>24</v>
      </c>
      <c r="I22" s="63">
        <f t="shared" si="2"/>
        <v>30</v>
      </c>
      <c r="K22" s="347">
        <f t="shared" si="3"/>
        <v>1966680</v>
      </c>
    </row>
    <row r="23" spans="2:11" ht="13.9" thickBot="1" x14ac:dyDescent="0.4">
      <c r="B23" s="272" t="s">
        <v>244</v>
      </c>
      <c r="C23" s="273">
        <v>1980000</v>
      </c>
      <c r="D23" s="274">
        <v>1200000</v>
      </c>
      <c r="E23" s="275">
        <v>1980000</v>
      </c>
      <c r="F23" s="345">
        <f t="shared" si="0"/>
        <v>1720000</v>
      </c>
      <c r="G23" s="346">
        <f t="shared" si="1"/>
        <v>57333</v>
      </c>
      <c r="H23" s="280">
        <v>26</v>
      </c>
      <c r="I23" s="63">
        <f t="shared" si="2"/>
        <v>32.5</v>
      </c>
      <c r="K23" s="347">
        <f t="shared" si="3"/>
        <v>1863323</v>
      </c>
    </row>
    <row r="24" spans="2:11" ht="13.9" thickBot="1" x14ac:dyDescent="0.4">
      <c r="B24" s="272" t="s">
        <v>245</v>
      </c>
      <c r="C24" s="273">
        <v>1200000</v>
      </c>
      <c r="D24" s="274">
        <v>1000000</v>
      </c>
      <c r="E24" s="275">
        <v>1750000</v>
      </c>
      <c r="F24" s="345">
        <f t="shared" si="0"/>
        <v>1316667</v>
      </c>
      <c r="G24" s="346">
        <f t="shared" si="1"/>
        <v>43889</v>
      </c>
      <c r="H24" s="280">
        <v>12</v>
      </c>
      <c r="I24" s="63">
        <f t="shared" si="2"/>
        <v>15</v>
      </c>
      <c r="K24" s="347">
        <f t="shared" si="3"/>
        <v>658335</v>
      </c>
    </row>
    <row r="25" spans="2:11" ht="13.9" thickBot="1" x14ac:dyDescent="0.4">
      <c r="B25" s="272" t="s">
        <v>238</v>
      </c>
      <c r="C25" s="273">
        <v>2800000</v>
      </c>
      <c r="D25" s="276">
        <v>2700000</v>
      </c>
      <c r="E25" s="274">
        <v>2800000</v>
      </c>
      <c r="F25" s="345">
        <f t="shared" si="0"/>
        <v>2766667</v>
      </c>
      <c r="G25" s="346">
        <f t="shared" si="1"/>
        <v>92222</v>
      </c>
      <c r="H25" s="280">
        <v>13</v>
      </c>
      <c r="I25" s="63">
        <f t="shared" si="2"/>
        <v>16.25</v>
      </c>
      <c r="K25" s="347">
        <f t="shared" si="3"/>
        <v>1498608</v>
      </c>
    </row>
    <row r="26" spans="2:11" ht="13.9" thickBot="1" x14ac:dyDescent="0.4">
      <c r="K26" s="348">
        <f>SUM(K17:K25)</f>
        <v>11835853</v>
      </c>
    </row>
    <row r="27" spans="2:11" ht="15" customHeight="1" thickBot="1" x14ac:dyDescent="0.4">
      <c r="B27" s="528" t="s">
        <v>1</v>
      </c>
      <c r="C27" s="529"/>
      <c r="D27" s="317" t="s">
        <v>292</v>
      </c>
      <c r="E27" s="317" t="s">
        <v>293</v>
      </c>
      <c r="F27" s="317" t="s">
        <v>294</v>
      </c>
    </row>
    <row r="28" spans="2:11" ht="7.8" customHeight="1" x14ac:dyDescent="0.35">
      <c r="B28" s="311"/>
      <c r="C28" s="312"/>
      <c r="D28" s="90"/>
      <c r="E28" s="90"/>
      <c r="F28" s="90"/>
    </row>
    <row r="29" spans="2:11" x14ac:dyDescent="0.35">
      <c r="B29" s="311" t="str">
        <f>+BCE!E11</f>
        <v xml:space="preserve">Prov. Vacaciones </v>
      </c>
      <c r="C29" s="312"/>
      <c r="D29" s="337">
        <f>+BCE!F11</f>
        <v>1500000</v>
      </c>
      <c r="E29" s="337">
        <f>+K26</f>
        <v>11835853</v>
      </c>
      <c r="F29" s="337">
        <f>+E29-D29</f>
        <v>10335853</v>
      </c>
    </row>
    <row r="30" spans="2:11" ht="9.6" customHeight="1" thickBot="1" x14ac:dyDescent="0.4">
      <c r="B30" s="313"/>
      <c r="C30" s="314"/>
      <c r="D30" s="91"/>
      <c r="E30" s="91"/>
      <c r="F30" s="91"/>
    </row>
    <row r="31" spans="2:11" x14ac:dyDescent="0.35">
      <c r="K31" s="315"/>
    </row>
    <row r="32" spans="2:11" ht="13.9" thickBot="1" x14ac:dyDescent="0.4">
      <c r="K32" s="315"/>
    </row>
    <row r="33" spans="2:11" ht="13.9" thickBot="1" x14ac:dyDescent="0.4">
      <c r="B33" s="496" t="s">
        <v>218</v>
      </c>
      <c r="C33" s="497"/>
      <c r="D33" s="497"/>
      <c r="E33" s="497"/>
      <c r="F33" s="497"/>
      <c r="G33" s="497"/>
      <c r="H33" s="497"/>
      <c r="I33" s="497"/>
      <c r="J33" s="497"/>
      <c r="K33" s="498"/>
    </row>
    <row r="34" spans="2:11" ht="13.9" thickBot="1" x14ac:dyDescent="0.4"/>
    <row r="35" spans="2:11" ht="15" customHeight="1" thickBot="1" x14ac:dyDescent="0.4">
      <c r="B35" s="528" t="s">
        <v>1</v>
      </c>
      <c r="C35" s="529"/>
      <c r="D35" s="317" t="s">
        <v>292</v>
      </c>
      <c r="E35" s="317" t="s">
        <v>293</v>
      </c>
      <c r="F35" s="317" t="s">
        <v>294</v>
      </c>
    </row>
    <row r="36" spans="2:11" ht="7.8" customHeight="1" x14ac:dyDescent="0.35">
      <c r="B36" s="311"/>
      <c r="C36" s="312"/>
      <c r="D36" s="90"/>
      <c r="E36" s="90"/>
      <c r="F36" s="90"/>
    </row>
    <row r="37" spans="2:11" x14ac:dyDescent="0.35">
      <c r="B37" s="311" t="str">
        <f>+BCE!E12</f>
        <v>Prov. Contrato de Arriendo</v>
      </c>
      <c r="C37" s="312"/>
      <c r="D37" s="337">
        <f>+BCE!F12</f>
        <v>8000000</v>
      </c>
      <c r="E37" s="337">
        <f>+D37</f>
        <v>8000000</v>
      </c>
      <c r="F37" s="337">
        <f>+D37-E37</f>
        <v>0</v>
      </c>
    </row>
    <row r="38" spans="2:11" ht="9.6" customHeight="1" thickBot="1" x14ac:dyDescent="0.4">
      <c r="B38" s="313"/>
      <c r="C38" s="314"/>
      <c r="D38" s="91"/>
      <c r="E38" s="91"/>
      <c r="F38" s="91"/>
    </row>
    <row r="39" spans="2:11" ht="13.9" thickBot="1" x14ac:dyDescent="0.4"/>
    <row r="40" spans="2:11" ht="14.45" customHeight="1" x14ac:dyDescent="0.35">
      <c r="B40" s="499" t="s">
        <v>247</v>
      </c>
      <c r="C40" s="500"/>
      <c r="D40" s="500"/>
      <c r="E40" s="500"/>
      <c r="F40" s="500"/>
      <c r="G40" s="500"/>
      <c r="H40" s="500"/>
      <c r="I40" s="500"/>
      <c r="J40" s="500"/>
      <c r="K40" s="501"/>
    </row>
    <row r="41" spans="2:11" ht="14.45" customHeight="1" x14ac:dyDescent="0.35">
      <c r="B41" s="502"/>
      <c r="C41" s="503"/>
      <c r="D41" s="503"/>
      <c r="E41" s="503"/>
      <c r="F41" s="503"/>
      <c r="G41" s="503"/>
      <c r="H41" s="503"/>
      <c r="I41" s="503"/>
      <c r="J41" s="503"/>
      <c r="K41" s="504"/>
    </row>
    <row r="42" spans="2:11" ht="14.45" customHeight="1" thickBot="1" x14ac:dyDescent="0.4">
      <c r="B42" s="505"/>
      <c r="C42" s="506"/>
      <c r="D42" s="506"/>
      <c r="E42" s="506"/>
      <c r="F42" s="506"/>
      <c r="G42" s="506"/>
      <c r="H42" s="506"/>
      <c r="I42" s="506"/>
      <c r="J42" s="506"/>
      <c r="K42" s="507"/>
    </row>
    <row r="43" spans="2:11" ht="13.9" thickBot="1" x14ac:dyDescent="0.4"/>
    <row r="44" spans="2:11" ht="15" customHeight="1" thickBot="1" x14ac:dyDescent="0.4">
      <c r="B44" s="528" t="s">
        <v>1</v>
      </c>
      <c r="C44" s="529"/>
      <c r="D44" s="317" t="s">
        <v>292</v>
      </c>
      <c r="E44" s="317" t="s">
        <v>293</v>
      </c>
      <c r="F44" s="317" t="s">
        <v>294</v>
      </c>
    </row>
    <row r="45" spans="2:11" ht="7.8" customHeight="1" x14ac:dyDescent="0.35">
      <c r="B45" s="311"/>
      <c r="C45" s="312"/>
      <c r="D45" s="90"/>
      <c r="E45" s="90"/>
      <c r="F45" s="90"/>
    </row>
    <row r="46" spans="2:11" x14ac:dyDescent="0.35">
      <c r="B46" s="311" t="s">
        <v>313</v>
      </c>
      <c r="C46" s="312"/>
      <c r="D46" s="90"/>
      <c r="E46" s="90"/>
      <c r="F46" s="90"/>
    </row>
    <row r="47" spans="2:11" ht="9.6" customHeight="1" thickBot="1" x14ac:dyDescent="0.4">
      <c r="B47" s="313"/>
      <c r="C47" s="314"/>
      <c r="D47" s="91"/>
      <c r="E47" s="91"/>
      <c r="F47" s="91"/>
    </row>
    <row r="49" spans="2:11" ht="13.9" thickBot="1" x14ac:dyDescent="0.4"/>
    <row r="50" spans="2:11" ht="13.9" thickBot="1" x14ac:dyDescent="0.4">
      <c r="B50" s="496" t="s">
        <v>122</v>
      </c>
      <c r="C50" s="497"/>
      <c r="D50" s="497"/>
      <c r="E50" s="497"/>
      <c r="F50" s="497"/>
      <c r="G50" s="497"/>
      <c r="H50" s="497"/>
      <c r="I50" s="497"/>
      <c r="J50" s="497"/>
      <c r="K50" s="498"/>
    </row>
    <row r="51" spans="2:11" ht="13.9" thickBot="1" x14ac:dyDescent="0.4">
      <c r="B51" s="316"/>
      <c r="C51" s="316"/>
      <c r="D51" s="316"/>
      <c r="E51" s="316"/>
      <c r="F51" s="316"/>
      <c r="G51" s="316"/>
      <c r="H51" s="316"/>
      <c r="I51" s="316"/>
      <c r="J51" s="316"/>
      <c r="K51" s="316"/>
    </row>
    <row r="52" spans="2:11" ht="15" customHeight="1" thickBot="1" x14ac:dyDescent="0.4">
      <c r="B52" s="528" t="s">
        <v>1</v>
      </c>
      <c r="C52" s="529"/>
      <c r="D52" s="317" t="s">
        <v>292</v>
      </c>
      <c r="E52" s="317" t="s">
        <v>293</v>
      </c>
      <c r="F52" s="317" t="s">
        <v>294</v>
      </c>
    </row>
    <row r="53" spans="2:11" ht="7.8" customHeight="1" x14ac:dyDescent="0.35">
      <c r="B53" s="311"/>
      <c r="C53" s="312"/>
      <c r="D53" s="90"/>
      <c r="E53" s="90"/>
      <c r="F53" s="90"/>
    </row>
    <row r="54" spans="2:11" x14ac:dyDescent="0.35">
      <c r="B54" s="311" t="str">
        <f>+BCE!E22</f>
        <v>Provisión Gratificaciones</v>
      </c>
      <c r="C54" s="312"/>
      <c r="D54" s="337">
        <f>+BCE!F22</f>
        <v>15000000</v>
      </c>
      <c r="E54" s="337">
        <f>+D54</f>
        <v>15000000</v>
      </c>
      <c r="F54" s="90">
        <v>0</v>
      </c>
    </row>
    <row r="55" spans="2:11" ht="9.6" customHeight="1" thickBot="1" x14ac:dyDescent="0.4">
      <c r="B55" s="313"/>
      <c r="C55" s="314"/>
      <c r="D55" s="91"/>
      <c r="E55" s="91"/>
      <c r="F55" s="91"/>
    </row>
    <row r="56" spans="2:11" x14ac:dyDescent="0.35">
      <c r="B56" s="316"/>
      <c r="C56" s="316"/>
      <c r="D56" s="316"/>
      <c r="E56" s="316"/>
      <c r="F56" s="316"/>
      <c r="G56" s="316"/>
      <c r="H56" s="316"/>
      <c r="I56" s="316"/>
      <c r="J56" s="316"/>
      <c r="K56" s="316"/>
    </row>
    <row r="57" spans="2:11" ht="13.9" thickBot="1" x14ac:dyDescent="0.4"/>
    <row r="58" spans="2:11" ht="14.45" customHeight="1" x14ac:dyDescent="0.35">
      <c r="B58" s="499" t="s">
        <v>249</v>
      </c>
      <c r="C58" s="500"/>
      <c r="D58" s="500"/>
      <c r="E58" s="500"/>
      <c r="F58" s="500"/>
      <c r="G58" s="500"/>
      <c r="H58" s="500"/>
      <c r="I58" s="500"/>
      <c r="J58" s="500"/>
      <c r="K58" s="501"/>
    </row>
    <row r="59" spans="2:11" ht="14.45" customHeight="1" x14ac:dyDescent="0.35">
      <c r="B59" s="502"/>
      <c r="C59" s="503"/>
      <c r="D59" s="503"/>
      <c r="E59" s="503"/>
      <c r="F59" s="503"/>
      <c r="G59" s="503"/>
      <c r="H59" s="503"/>
      <c r="I59" s="503"/>
      <c r="J59" s="503"/>
      <c r="K59" s="504"/>
    </row>
    <row r="60" spans="2:11" x14ac:dyDescent="0.35">
      <c r="B60" s="502"/>
      <c r="C60" s="503"/>
      <c r="D60" s="503"/>
      <c r="E60" s="503"/>
      <c r="F60" s="503"/>
      <c r="G60" s="503"/>
      <c r="H60" s="503"/>
      <c r="I60" s="503"/>
      <c r="J60" s="503"/>
      <c r="K60" s="504"/>
    </row>
    <row r="61" spans="2:11" ht="14.45" customHeight="1" x14ac:dyDescent="0.35">
      <c r="B61" s="502"/>
      <c r="C61" s="503"/>
      <c r="D61" s="503"/>
      <c r="E61" s="503"/>
      <c r="F61" s="503"/>
      <c r="G61" s="503"/>
      <c r="H61" s="503"/>
      <c r="I61" s="503"/>
      <c r="J61" s="503"/>
      <c r="K61" s="504"/>
    </row>
    <row r="62" spans="2:11" ht="14.45" customHeight="1" thickBot="1" x14ac:dyDescent="0.4">
      <c r="B62" s="505"/>
      <c r="C62" s="506"/>
      <c r="D62" s="506"/>
      <c r="E62" s="506"/>
      <c r="F62" s="506"/>
      <c r="G62" s="506"/>
      <c r="H62" s="506"/>
      <c r="I62" s="506"/>
      <c r="J62" s="506"/>
      <c r="K62" s="507"/>
    </row>
    <row r="63" spans="2:11" ht="13.9" thickBot="1" x14ac:dyDescent="0.4"/>
    <row r="64" spans="2:11" ht="15" customHeight="1" thickBot="1" x14ac:dyDescent="0.4">
      <c r="B64" s="528" t="s">
        <v>1</v>
      </c>
      <c r="C64" s="529"/>
      <c r="D64" s="317" t="s">
        <v>292</v>
      </c>
      <c r="E64" s="317" t="s">
        <v>293</v>
      </c>
      <c r="F64" s="317" t="s">
        <v>294</v>
      </c>
    </row>
    <row r="65" spans="2:11" ht="7.8" customHeight="1" x14ac:dyDescent="0.35">
      <c r="B65" s="311"/>
      <c r="C65" s="312"/>
      <c r="D65" s="90"/>
      <c r="E65" s="90"/>
      <c r="F65" s="90"/>
    </row>
    <row r="66" spans="2:11" x14ac:dyDescent="0.35">
      <c r="B66" s="311" t="str">
        <f>+BCE!E17</f>
        <v>Provisión Reestructuración</v>
      </c>
      <c r="C66" s="312"/>
      <c r="D66" s="337">
        <f>+BCE!F17</f>
        <v>35000000</v>
      </c>
      <c r="E66" s="90">
        <v>0</v>
      </c>
      <c r="F66" s="337">
        <f>+D66-E66</f>
        <v>35000000</v>
      </c>
    </row>
    <row r="67" spans="2:11" ht="9.6" customHeight="1" thickBot="1" x14ac:dyDescent="0.4">
      <c r="B67" s="313"/>
      <c r="C67" s="314"/>
      <c r="D67" s="91"/>
      <c r="E67" s="91"/>
      <c r="F67" s="91"/>
    </row>
    <row r="68" spans="2:11" ht="13.9" thickBot="1" x14ac:dyDescent="0.4"/>
    <row r="69" spans="2:11" ht="14.45" customHeight="1" x14ac:dyDescent="0.35">
      <c r="B69" s="499" t="s">
        <v>250</v>
      </c>
      <c r="C69" s="500"/>
      <c r="D69" s="500"/>
      <c r="E69" s="500"/>
      <c r="F69" s="500"/>
      <c r="G69" s="500"/>
      <c r="H69" s="500"/>
      <c r="I69" s="500"/>
      <c r="J69" s="500"/>
      <c r="K69" s="501"/>
    </row>
    <row r="70" spans="2:11" ht="14.45" customHeight="1" x14ac:dyDescent="0.35">
      <c r="B70" s="502"/>
      <c r="C70" s="503"/>
      <c r="D70" s="503"/>
      <c r="E70" s="503"/>
      <c r="F70" s="503"/>
      <c r="G70" s="503"/>
      <c r="H70" s="503"/>
      <c r="I70" s="503"/>
      <c r="J70" s="503"/>
      <c r="K70" s="504"/>
    </row>
    <row r="71" spans="2:11" ht="13.9" thickBot="1" x14ac:dyDescent="0.4">
      <c r="B71" s="505"/>
      <c r="C71" s="506"/>
      <c r="D71" s="506"/>
      <c r="E71" s="506"/>
      <c r="F71" s="506"/>
      <c r="G71" s="506"/>
      <c r="H71" s="506"/>
      <c r="I71" s="506"/>
      <c r="J71" s="506"/>
      <c r="K71" s="507"/>
    </row>
    <row r="72" spans="2:11" ht="13.9" thickBot="1" x14ac:dyDescent="0.4"/>
    <row r="73" spans="2:11" ht="15" customHeight="1" thickBot="1" x14ac:dyDescent="0.4">
      <c r="B73" s="528" t="s">
        <v>1</v>
      </c>
      <c r="C73" s="529"/>
      <c r="D73" s="317" t="s">
        <v>292</v>
      </c>
      <c r="E73" s="317" t="s">
        <v>293</v>
      </c>
      <c r="F73" s="317" t="s">
        <v>294</v>
      </c>
    </row>
    <row r="74" spans="2:11" ht="7.8" customHeight="1" x14ac:dyDescent="0.35">
      <c r="B74" s="311"/>
      <c r="C74" s="312"/>
      <c r="D74" s="90"/>
      <c r="E74" s="90"/>
      <c r="F74" s="90"/>
    </row>
    <row r="75" spans="2:11" x14ac:dyDescent="0.35">
      <c r="B75" s="311" t="s">
        <v>317</v>
      </c>
      <c r="C75" s="312"/>
      <c r="D75" s="90"/>
      <c r="E75" s="90"/>
      <c r="F75" s="90"/>
    </row>
    <row r="76" spans="2:11" ht="9.6" customHeight="1" thickBot="1" x14ac:dyDescent="0.4">
      <c r="B76" s="313"/>
      <c r="C76" s="314"/>
      <c r="D76" s="91"/>
      <c r="E76" s="91"/>
      <c r="F76" s="91"/>
    </row>
    <row r="77" spans="2:11" ht="13.9" thickBot="1" x14ac:dyDescent="0.4"/>
    <row r="78" spans="2:11" x14ac:dyDescent="0.35">
      <c r="B78" s="499" t="s">
        <v>251</v>
      </c>
      <c r="C78" s="500"/>
      <c r="D78" s="500"/>
      <c r="E78" s="500"/>
      <c r="F78" s="500"/>
      <c r="G78" s="500"/>
      <c r="H78" s="500"/>
      <c r="I78" s="500"/>
      <c r="J78" s="500"/>
      <c r="K78" s="501"/>
    </row>
    <row r="79" spans="2:11" x14ac:dyDescent="0.35">
      <c r="B79" s="502"/>
      <c r="C79" s="503"/>
      <c r="D79" s="503"/>
      <c r="E79" s="503"/>
      <c r="F79" s="503"/>
      <c r="G79" s="503"/>
      <c r="H79" s="503"/>
      <c r="I79" s="503"/>
      <c r="J79" s="503"/>
      <c r="K79" s="504"/>
    </row>
    <row r="80" spans="2:11" x14ac:dyDescent="0.35">
      <c r="B80" s="502"/>
      <c r="C80" s="503"/>
      <c r="D80" s="503"/>
      <c r="E80" s="503"/>
      <c r="F80" s="503"/>
      <c r="G80" s="503"/>
      <c r="H80" s="503"/>
      <c r="I80" s="503"/>
      <c r="J80" s="503"/>
      <c r="K80" s="504"/>
    </row>
    <row r="81" spans="2:11" ht="13.9" thickBot="1" x14ac:dyDescent="0.4">
      <c r="B81" s="505"/>
      <c r="C81" s="506"/>
      <c r="D81" s="506"/>
      <c r="E81" s="506"/>
      <c r="F81" s="506"/>
      <c r="G81" s="506"/>
      <c r="H81" s="506"/>
      <c r="I81" s="506"/>
      <c r="J81" s="506"/>
      <c r="K81" s="507"/>
    </row>
    <row r="82" spans="2:11" ht="13.9" thickBot="1" x14ac:dyDescent="0.4"/>
    <row r="83" spans="2:11" ht="15" customHeight="1" thickBot="1" x14ac:dyDescent="0.4">
      <c r="B83" s="528" t="s">
        <v>1</v>
      </c>
      <c r="C83" s="529"/>
      <c r="D83" s="317" t="s">
        <v>292</v>
      </c>
      <c r="E83" s="317" t="s">
        <v>293</v>
      </c>
      <c r="F83" s="317" t="s">
        <v>294</v>
      </c>
    </row>
    <row r="84" spans="2:11" ht="7.8" customHeight="1" x14ac:dyDescent="0.35">
      <c r="B84" s="311"/>
      <c r="C84" s="312"/>
      <c r="D84" s="90"/>
      <c r="E84" s="90"/>
      <c r="F84" s="90"/>
    </row>
    <row r="85" spans="2:11" x14ac:dyDescent="0.35">
      <c r="B85" s="311" t="s">
        <v>318</v>
      </c>
      <c r="C85" s="312"/>
      <c r="D85" s="65"/>
      <c r="E85" s="65">
        <f>93000000-62000000</f>
        <v>31000000</v>
      </c>
      <c r="F85" s="65">
        <f>+E85</f>
        <v>31000000</v>
      </c>
    </row>
    <row r="86" spans="2:11" ht="9.6" customHeight="1" thickBot="1" x14ac:dyDescent="0.4">
      <c r="B86" s="313"/>
      <c r="C86" s="314"/>
      <c r="D86" s="91"/>
      <c r="E86" s="91"/>
      <c r="F86" s="91"/>
    </row>
    <row r="88" spans="2:11" ht="13.9" thickBot="1" x14ac:dyDescent="0.4"/>
    <row r="89" spans="2:11" ht="15" customHeight="1" thickBot="1" x14ac:dyDescent="0.4">
      <c r="B89" s="524" t="s">
        <v>138</v>
      </c>
      <c r="C89" s="525"/>
      <c r="D89" s="525"/>
      <c r="E89" s="525"/>
      <c r="F89" s="525"/>
      <c r="G89" s="525"/>
      <c r="H89" s="525"/>
      <c r="I89" s="525"/>
      <c r="J89" s="525"/>
      <c r="K89" s="526"/>
    </row>
    <row r="90" spans="2:11" x14ac:dyDescent="0.35">
      <c r="B90" s="277"/>
      <c r="C90" s="278"/>
    </row>
    <row r="91" spans="2:11" ht="27" x14ac:dyDescent="0.35">
      <c r="B91" s="277"/>
      <c r="C91" s="89" t="s">
        <v>57</v>
      </c>
      <c r="D91" s="89" t="s">
        <v>128</v>
      </c>
      <c r="E91" s="89" t="s">
        <v>70</v>
      </c>
      <c r="F91" s="89" t="s">
        <v>129</v>
      </c>
    </row>
    <row r="92" spans="2:11" x14ac:dyDescent="0.35">
      <c r="B92" s="279"/>
      <c r="C92" s="352" t="s">
        <v>130</v>
      </c>
      <c r="D92" s="353" t="s">
        <v>131</v>
      </c>
      <c r="E92" s="354">
        <v>20000000</v>
      </c>
      <c r="F92" s="355">
        <v>0.6</v>
      </c>
    </row>
    <row r="93" spans="2:11" x14ac:dyDescent="0.35">
      <c r="C93" s="356" t="s">
        <v>132</v>
      </c>
      <c r="D93" s="357" t="s">
        <v>131</v>
      </c>
      <c r="E93" s="358">
        <v>150000000</v>
      </c>
      <c r="F93" s="359">
        <v>0.45</v>
      </c>
    </row>
    <row r="94" spans="2:11" x14ac:dyDescent="0.35">
      <c r="B94" s="279"/>
      <c r="C94" s="84" t="s">
        <v>133</v>
      </c>
      <c r="D94" s="85" t="s">
        <v>131</v>
      </c>
      <c r="E94" s="86">
        <v>20000000</v>
      </c>
      <c r="F94" s="87">
        <v>0.3</v>
      </c>
    </row>
    <row r="95" spans="2:11" x14ac:dyDescent="0.35">
      <c r="B95" s="277"/>
      <c r="C95" s="352" t="s">
        <v>134</v>
      </c>
      <c r="D95" s="353" t="s">
        <v>131</v>
      </c>
      <c r="E95" s="354">
        <v>30000000</v>
      </c>
      <c r="F95" s="355">
        <v>0.51</v>
      </c>
    </row>
    <row r="96" spans="2:11" x14ac:dyDescent="0.35">
      <c r="B96" s="277"/>
      <c r="C96" s="352" t="s">
        <v>135</v>
      </c>
      <c r="D96" s="353" t="s">
        <v>131</v>
      </c>
      <c r="E96" s="354">
        <v>50000000</v>
      </c>
      <c r="F96" s="355">
        <v>0.95</v>
      </c>
    </row>
    <row r="97" spans="2:11" x14ac:dyDescent="0.35">
      <c r="B97" s="277"/>
      <c r="C97" s="522" t="s">
        <v>136</v>
      </c>
      <c r="D97" s="522"/>
      <c r="E97" s="86">
        <v>35000000</v>
      </c>
      <c r="F97" s="85"/>
    </row>
    <row r="98" spans="2:11" x14ac:dyDescent="0.35">
      <c r="B98" s="277"/>
      <c r="C98" s="523" t="s">
        <v>137</v>
      </c>
      <c r="D98" s="523"/>
      <c r="E98" s="88">
        <v>335000000</v>
      </c>
      <c r="F98" s="85"/>
    </row>
    <row r="99" spans="2:11" ht="13.9" thickBot="1" x14ac:dyDescent="0.4"/>
    <row r="100" spans="2:11" ht="15" customHeight="1" thickBot="1" x14ac:dyDescent="0.4">
      <c r="B100" s="528" t="s">
        <v>1</v>
      </c>
      <c r="C100" s="529"/>
      <c r="D100" s="317" t="s">
        <v>292</v>
      </c>
      <c r="E100" s="317" t="s">
        <v>293</v>
      </c>
      <c r="F100" s="317" t="s">
        <v>294</v>
      </c>
    </row>
    <row r="101" spans="2:11" ht="7.8" customHeight="1" x14ac:dyDescent="0.35">
      <c r="B101" s="311"/>
      <c r="C101" s="312"/>
      <c r="D101" s="90"/>
      <c r="E101" s="90"/>
      <c r="F101" s="90"/>
    </row>
    <row r="102" spans="2:11" x14ac:dyDescent="0.35">
      <c r="B102" s="311" t="str">
        <f>+BCE!E18</f>
        <v>Provisión Juicios</v>
      </c>
      <c r="C102" s="312"/>
      <c r="D102" s="337">
        <f>+BCE!F18</f>
        <v>70000000</v>
      </c>
      <c r="E102" s="351">
        <f>+E96+E95+E92</f>
        <v>100000000</v>
      </c>
      <c r="F102" s="337">
        <f>+E102-D102</f>
        <v>30000000</v>
      </c>
    </row>
    <row r="103" spans="2:11" ht="9.6" customHeight="1" thickBot="1" x14ac:dyDescent="0.4">
      <c r="B103" s="313"/>
      <c r="C103" s="314"/>
      <c r="D103" s="91"/>
      <c r="E103" s="91"/>
      <c r="F103" s="91"/>
    </row>
    <row r="105" spans="2:11" ht="13.9" thickBot="1" x14ac:dyDescent="0.4"/>
    <row r="106" spans="2:11" x14ac:dyDescent="0.35">
      <c r="B106" s="513" t="s">
        <v>252</v>
      </c>
      <c r="C106" s="514"/>
      <c r="D106" s="514"/>
      <c r="E106" s="514"/>
      <c r="F106" s="514"/>
      <c r="G106" s="514"/>
      <c r="H106" s="514"/>
      <c r="I106" s="514"/>
      <c r="J106" s="514"/>
      <c r="K106" s="515"/>
    </row>
    <row r="107" spans="2:11" x14ac:dyDescent="0.35">
      <c r="B107" s="516"/>
      <c r="C107" s="517"/>
      <c r="D107" s="517"/>
      <c r="E107" s="517"/>
      <c r="F107" s="517"/>
      <c r="G107" s="517"/>
      <c r="H107" s="517"/>
      <c r="I107" s="517"/>
      <c r="J107" s="517"/>
      <c r="K107" s="518"/>
    </row>
    <row r="108" spans="2:11" x14ac:dyDescent="0.35">
      <c r="B108" s="516"/>
      <c r="C108" s="517"/>
      <c r="D108" s="517"/>
      <c r="E108" s="517"/>
      <c r="F108" s="517"/>
      <c r="G108" s="517"/>
      <c r="H108" s="517"/>
      <c r="I108" s="517"/>
      <c r="J108" s="517"/>
      <c r="K108" s="518"/>
    </row>
    <row r="109" spans="2:11" ht="13.9" thickBot="1" x14ac:dyDescent="0.4">
      <c r="B109" s="519"/>
      <c r="C109" s="520"/>
      <c r="D109" s="520"/>
      <c r="E109" s="520"/>
      <c r="F109" s="520"/>
      <c r="G109" s="520"/>
      <c r="H109" s="520"/>
      <c r="I109" s="520"/>
      <c r="J109" s="520"/>
      <c r="K109" s="521"/>
    </row>
    <row r="110" spans="2:11" ht="13.9" thickBot="1" x14ac:dyDescent="0.4"/>
    <row r="111" spans="2:11" ht="15" customHeight="1" thickBot="1" x14ac:dyDescent="0.4">
      <c r="B111" s="528" t="s">
        <v>1</v>
      </c>
      <c r="C111" s="529"/>
      <c r="D111" s="317" t="s">
        <v>292</v>
      </c>
      <c r="E111" s="317" t="s">
        <v>293</v>
      </c>
      <c r="F111" s="317" t="s">
        <v>294</v>
      </c>
    </row>
    <row r="112" spans="2:11" ht="7.8" customHeight="1" x14ac:dyDescent="0.35">
      <c r="B112" s="311"/>
      <c r="C112" s="312"/>
      <c r="D112" s="90"/>
      <c r="E112" s="90"/>
      <c r="F112" s="90"/>
    </row>
    <row r="113" spans="2:11" x14ac:dyDescent="0.35">
      <c r="B113" s="311" t="s">
        <v>323</v>
      </c>
      <c r="C113" s="312"/>
      <c r="D113" s="90"/>
      <c r="E113" s="90"/>
      <c r="F113" s="90"/>
    </row>
    <row r="114" spans="2:11" ht="9.6" customHeight="1" thickBot="1" x14ac:dyDescent="0.4">
      <c r="B114" s="313"/>
      <c r="C114" s="314"/>
      <c r="D114" s="91"/>
      <c r="E114" s="91"/>
      <c r="F114" s="91"/>
    </row>
    <row r="115" spans="2:11" ht="13.9" thickBot="1" x14ac:dyDescent="0.4"/>
    <row r="116" spans="2:11" x14ac:dyDescent="0.35">
      <c r="B116" s="499" t="s">
        <v>215</v>
      </c>
      <c r="C116" s="500"/>
      <c r="D116" s="500"/>
      <c r="E116" s="500"/>
      <c r="F116" s="500"/>
      <c r="G116" s="500"/>
      <c r="H116" s="500"/>
      <c r="I116" s="500"/>
      <c r="J116" s="500"/>
      <c r="K116" s="501"/>
    </row>
    <row r="117" spans="2:11" ht="13.9" thickBot="1" x14ac:dyDescent="0.4">
      <c r="B117" s="505"/>
      <c r="C117" s="506"/>
      <c r="D117" s="506"/>
      <c r="E117" s="506"/>
      <c r="F117" s="506"/>
      <c r="G117" s="506"/>
      <c r="H117" s="506"/>
      <c r="I117" s="506"/>
      <c r="J117" s="506"/>
      <c r="K117" s="507"/>
    </row>
    <row r="118" spans="2:11" ht="13.9" thickBot="1" x14ac:dyDescent="0.4"/>
    <row r="119" spans="2:11" ht="13.9" thickBot="1" x14ac:dyDescent="0.4">
      <c r="B119" s="29" t="s">
        <v>1</v>
      </c>
      <c r="C119" s="29" t="s">
        <v>145</v>
      </c>
      <c r="D119" s="29" t="s">
        <v>142</v>
      </c>
      <c r="E119" s="29" t="s">
        <v>143</v>
      </c>
      <c r="F119" s="29" t="s">
        <v>144</v>
      </c>
      <c r="G119" s="29" t="s">
        <v>125</v>
      </c>
      <c r="H119" s="30" t="s">
        <v>70</v>
      </c>
    </row>
    <row r="120" spans="2:11" x14ac:dyDescent="0.35">
      <c r="B120" s="90" t="s">
        <v>139</v>
      </c>
      <c r="C120" s="92">
        <v>4100000</v>
      </c>
      <c r="D120" s="93" t="s">
        <v>253</v>
      </c>
      <c r="E120" s="93" t="s">
        <v>256</v>
      </c>
      <c r="F120" s="93">
        <v>20</v>
      </c>
      <c r="G120" s="360">
        <f>ROUND(+C120/31,0)</f>
        <v>132258</v>
      </c>
      <c r="H120" s="361">
        <f>ROUND(+F120*G120,0)</f>
        <v>2645160</v>
      </c>
    </row>
    <row r="121" spans="2:11" x14ac:dyDescent="0.35">
      <c r="B121" s="90" t="s">
        <v>140</v>
      </c>
      <c r="C121" s="92">
        <v>4950000</v>
      </c>
      <c r="D121" s="93" t="s">
        <v>254</v>
      </c>
      <c r="E121" s="93" t="s">
        <v>257</v>
      </c>
      <c r="F121" s="93">
        <v>14</v>
      </c>
      <c r="G121" s="92">
        <f t="shared" ref="G121:G123" si="4">ROUND(+C121/31,0)</f>
        <v>159677</v>
      </c>
      <c r="H121" s="361">
        <f t="shared" ref="H121:H123" si="5">ROUND(+F121*G121,0)</f>
        <v>2235478</v>
      </c>
    </row>
    <row r="122" spans="2:11" x14ac:dyDescent="0.35">
      <c r="B122" s="90" t="s">
        <v>141</v>
      </c>
      <c r="C122" s="92">
        <v>5200000</v>
      </c>
      <c r="D122" s="93" t="s">
        <v>97</v>
      </c>
      <c r="E122" s="93" t="s">
        <v>258</v>
      </c>
      <c r="F122" s="93">
        <v>10</v>
      </c>
      <c r="G122" s="92">
        <f t="shared" si="4"/>
        <v>167742</v>
      </c>
      <c r="H122" s="361">
        <f t="shared" si="5"/>
        <v>1677420</v>
      </c>
    </row>
    <row r="123" spans="2:11" ht="13.9" thickBot="1" x14ac:dyDescent="0.4">
      <c r="B123" s="91" t="s">
        <v>146</v>
      </c>
      <c r="C123" s="94">
        <v>7800000</v>
      </c>
      <c r="D123" s="95" t="s">
        <v>255</v>
      </c>
      <c r="E123" s="95" t="s">
        <v>259</v>
      </c>
      <c r="F123" s="95">
        <v>27</v>
      </c>
      <c r="G123" s="94">
        <f t="shared" si="4"/>
        <v>251613</v>
      </c>
      <c r="H123" s="361">
        <f t="shared" si="5"/>
        <v>6793551</v>
      </c>
    </row>
    <row r="124" spans="2:11" ht="18" customHeight="1" thickBot="1" x14ac:dyDescent="0.4">
      <c r="H124" s="362">
        <f>SUM(H120:H123)</f>
        <v>13351609</v>
      </c>
    </row>
    <row r="126" spans="2:11" ht="13.9" thickBot="1" x14ac:dyDescent="0.4"/>
    <row r="127" spans="2:11" ht="15" customHeight="1" thickBot="1" x14ac:dyDescent="0.4">
      <c r="B127" s="528" t="s">
        <v>1</v>
      </c>
      <c r="C127" s="529"/>
      <c r="D127" s="317" t="s">
        <v>292</v>
      </c>
      <c r="E127" s="317" t="s">
        <v>293</v>
      </c>
      <c r="F127" s="317" t="s">
        <v>294</v>
      </c>
    </row>
    <row r="128" spans="2:11" ht="7.8" customHeight="1" x14ac:dyDescent="0.35">
      <c r="B128" s="311"/>
      <c r="C128" s="312"/>
      <c r="D128" s="90"/>
      <c r="E128" s="90"/>
      <c r="F128" s="90"/>
    </row>
    <row r="129" spans="2:11" x14ac:dyDescent="0.35">
      <c r="B129" s="311" t="s">
        <v>324</v>
      </c>
      <c r="C129" s="312"/>
      <c r="D129" s="90"/>
      <c r="E129" s="337">
        <f>+H124</f>
        <v>13351609</v>
      </c>
      <c r="F129" s="337">
        <f>+E129</f>
        <v>13351609</v>
      </c>
    </row>
    <row r="130" spans="2:11" ht="9.6" customHeight="1" thickBot="1" x14ac:dyDescent="0.4">
      <c r="B130" s="313"/>
      <c r="C130" s="314"/>
      <c r="D130" s="91"/>
      <c r="E130" s="91"/>
      <c r="F130" s="91"/>
    </row>
    <row r="131" spans="2:11" ht="13.9" thickBot="1" x14ac:dyDescent="0.4"/>
    <row r="132" spans="2:11" x14ac:dyDescent="0.35">
      <c r="B132" s="499" t="s">
        <v>216</v>
      </c>
      <c r="C132" s="500"/>
      <c r="D132" s="500"/>
      <c r="E132" s="500"/>
      <c r="F132" s="500"/>
      <c r="G132" s="500"/>
      <c r="H132" s="500"/>
      <c r="I132" s="500"/>
      <c r="J132" s="500"/>
      <c r="K132" s="501"/>
    </row>
    <row r="133" spans="2:11" x14ac:dyDescent="0.35">
      <c r="B133" s="502"/>
      <c r="C133" s="503"/>
      <c r="D133" s="503"/>
      <c r="E133" s="503"/>
      <c r="F133" s="503"/>
      <c r="G133" s="503"/>
      <c r="H133" s="503"/>
      <c r="I133" s="503"/>
      <c r="J133" s="503"/>
      <c r="K133" s="504"/>
    </row>
    <row r="134" spans="2:11" ht="13.9" thickBot="1" x14ac:dyDescent="0.4">
      <c r="B134" s="505"/>
      <c r="C134" s="506"/>
      <c r="D134" s="506"/>
      <c r="E134" s="506"/>
      <c r="F134" s="506"/>
      <c r="G134" s="506"/>
      <c r="H134" s="506"/>
      <c r="I134" s="506"/>
      <c r="J134" s="506"/>
      <c r="K134" s="507"/>
    </row>
    <row r="135" spans="2:11" ht="13.9" thickBot="1" x14ac:dyDescent="0.4"/>
    <row r="136" spans="2:11" ht="13.9" thickBot="1" x14ac:dyDescent="0.4">
      <c r="B136" s="100" t="s">
        <v>1</v>
      </c>
      <c r="C136" s="28">
        <v>2024</v>
      </c>
      <c r="D136" s="29">
        <v>2023</v>
      </c>
      <c r="E136" s="29">
        <v>2022</v>
      </c>
      <c r="F136" s="30">
        <v>2021</v>
      </c>
      <c r="G136" s="29">
        <v>2020</v>
      </c>
    </row>
    <row r="137" spans="2:11" x14ac:dyDescent="0.35">
      <c r="B137" s="90" t="s">
        <v>147</v>
      </c>
      <c r="C137" s="99" t="s">
        <v>150</v>
      </c>
      <c r="D137" s="65">
        <v>3300000</v>
      </c>
      <c r="E137" s="65">
        <v>4300000</v>
      </c>
      <c r="F137" s="96">
        <v>6100000</v>
      </c>
      <c r="G137" s="65">
        <v>7000000</v>
      </c>
    </row>
    <row r="138" spans="2:11" x14ac:dyDescent="0.35">
      <c r="B138" s="90" t="s">
        <v>148</v>
      </c>
      <c r="C138" s="99" t="s">
        <v>150</v>
      </c>
      <c r="D138" s="65">
        <v>6500000</v>
      </c>
      <c r="E138" s="65">
        <v>9000000</v>
      </c>
      <c r="F138" s="96">
        <v>5800000</v>
      </c>
      <c r="G138" s="65">
        <v>5500000</v>
      </c>
    </row>
    <row r="139" spans="2:11" ht="13.9" thickBot="1" x14ac:dyDescent="0.4">
      <c r="B139" s="90" t="s">
        <v>149</v>
      </c>
      <c r="C139" s="99" t="s">
        <v>150</v>
      </c>
      <c r="D139" s="65">
        <v>18250000</v>
      </c>
      <c r="E139" s="65">
        <v>28320000</v>
      </c>
      <c r="F139" s="96">
        <v>38500000</v>
      </c>
      <c r="G139" s="65">
        <v>18800000</v>
      </c>
    </row>
    <row r="140" spans="2:11" ht="13.9" thickBot="1" x14ac:dyDescent="0.4">
      <c r="B140" s="97" t="s">
        <v>0</v>
      </c>
      <c r="C140" s="62" t="s">
        <v>150</v>
      </c>
      <c r="D140" s="75">
        <f>SUM(D137:D139)</f>
        <v>28050000</v>
      </c>
      <c r="E140" s="75">
        <f t="shared" ref="E140:G140" si="6">SUM(E137:E139)</f>
        <v>41620000</v>
      </c>
      <c r="F140" s="98">
        <f t="shared" si="6"/>
        <v>50400000</v>
      </c>
      <c r="G140" s="75">
        <f t="shared" si="6"/>
        <v>31300000</v>
      </c>
    </row>
    <row r="141" spans="2:11" ht="13.9" thickBot="1" x14ac:dyDescent="0.4"/>
    <row r="142" spans="2:11" ht="13.9" thickBot="1" x14ac:dyDescent="0.4">
      <c r="B142" s="15" t="s">
        <v>125</v>
      </c>
      <c r="D142" s="363">
        <f>ROUND(+(D140+E140+F140)/3,0)</f>
        <v>40023333</v>
      </c>
    </row>
    <row r="143" spans="2:11" ht="13.9" thickBot="1" x14ac:dyDescent="0.4"/>
    <row r="144" spans="2:11" ht="15" customHeight="1" thickBot="1" x14ac:dyDescent="0.4">
      <c r="B144" s="528" t="s">
        <v>1</v>
      </c>
      <c r="C144" s="529"/>
      <c r="D144" s="317" t="s">
        <v>292</v>
      </c>
      <c r="E144" s="317" t="s">
        <v>293</v>
      </c>
      <c r="F144" s="317" t="s">
        <v>294</v>
      </c>
    </row>
    <row r="145" spans="2:11" ht="7.8" customHeight="1" x14ac:dyDescent="0.35">
      <c r="B145" s="311"/>
      <c r="C145" s="312"/>
      <c r="D145" s="90"/>
      <c r="E145" s="90"/>
      <c r="F145" s="90"/>
    </row>
    <row r="146" spans="2:11" x14ac:dyDescent="0.35">
      <c r="B146" s="311" t="s">
        <v>327</v>
      </c>
      <c r="C146" s="312"/>
      <c r="D146" s="90">
        <v>0</v>
      </c>
      <c r="E146" s="337">
        <f>+D142</f>
        <v>40023333</v>
      </c>
      <c r="F146" s="337">
        <f>+E146</f>
        <v>40023333</v>
      </c>
    </row>
    <row r="147" spans="2:11" ht="9.6" customHeight="1" thickBot="1" x14ac:dyDescent="0.4">
      <c r="B147" s="313"/>
      <c r="C147" s="314"/>
      <c r="D147" s="91"/>
      <c r="E147" s="91"/>
      <c r="F147" s="91"/>
    </row>
    <row r="149" spans="2:11" ht="13.9" thickBot="1" x14ac:dyDescent="0.4"/>
    <row r="150" spans="2:11" x14ac:dyDescent="0.35">
      <c r="B150" s="499" t="s">
        <v>260</v>
      </c>
      <c r="C150" s="500"/>
      <c r="D150" s="500"/>
      <c r="E150" s="500"/>
      <c r="F150" s="500"/>
      <c r="G150" s="500"/>
      <c r="H150" s="500"/>
      <c r="I150" s="500"/>
      <c r="J150" s="500"/>
      <c r="K150" s="501"/>
    </row>
    <row r="151" spans="2:11" x14ac:dyDescent="0.35">
      <c r="B151" s="502"/>
      <c r="C151" s="503"/>
      <c r="D151" s="503"/>
      <c r="E151" s="503"/>
      <c r="F151" s="503"/>
      <c r="G151" s="503"/>
      <c r="H151" s="503"/>
      <c r="I151" s="503"/>
      <c r="J151" s="503"/>
      <c r="K151" s="504"/>
    </row>
    <row r="152" spans="2:11" ht="13.9" thickBot="1" x14ac:dyDescent="0.4">
      <c r="B152" s="505"/>
      <c r="C152" s="506"/>
      <c r="D152" s="506"/>
      <c r="E152" s="506"/>
      <c r="F152" s="506"/>
      <c r="G152" s="506"/>
      <c r="H152" s="506"/>
      <c r="I152" s="506"/>
      <c r="J152" s="506"/>
      <c r="K152" s="507"/>
    </row>
    <row r="153" spans="2:11" ht="13.9" thickBot="1" x14ac:dyDescent="0.4"/>
    <row r="154" spans="2:11" ht="15" customHeight="1" thickBot="1" x14ac:dyDescent="0.4">
      <c r="B154" s="528" t="s">
        <v>1</v>
      </c>
      <c r="C154" s="529"/>
      <c r="D154" s="317" t="s">
        <v>292</v>
      </c>
      <c r="E154" s="317" t="s">
        <v>293</v>
      </c>
      <c r="F154" s="317" t="s">
        <v>294</v>
      </c>
    </row>
    <row r="155" spans="2:11" x14ac:dyDescent="0.35">
      <c r="B155" s="311"/>
      <c r="C155" s="312"/>
      <c r="D155" s="90"/>
      <c r="E155" s="90"/>
      <c r="F155" s="90"/>
      <c r="I155" s="527">
        <f>900000000*0.05</f>
        <v>45000000</v>
      </c>
      <c r="J155" s="527"/>
      <c r="K155" s="527"/>
    </row>
    <row r="156" spans="2:11" x14ac:dyDescent="0.35">
      <c r="B156" s="311" t="str">
        <f>+'Asientos Ajustes'!D47</f>
        <v>Provisión Medioambiental</v>
      </c>
      <c r="C156" s="312"/>
      <c r="D156" s="337">
        <f>+BCE!F19</f>
        <v>45000000</v>
      </c>
      <c r="E156" s="65">
        <f>900000000*0.05</f>
        <v>45000000</v>
      </c>
      <c r="F156" s="337">
        <f>+D156-E156</f>
        <v>0</v>
      </c>
    </row>
    <row r="157" spans="2:11" ht="9.6" customHeight="1" thickBot="1" x14ac:dyDescent="0.4">
      <c r="B157" s="313"/>
      <c r="C157" s="314"/>
      <c r="D157" s="91"/>
      <c r="E157" s="91"/>
      <c r="F157" s="91"/>
    </row>
  </sheetData>
  <mergeCells count="32">
    <mergeCell ref="I155:K155"/>
    <mergeCell ref="B7:C7"/>
    <mergeCell ref="B27:C27"/>
    <mergeCell ref="B35:C35"/>
    <mergeCell ref="B44:C44"/>
    <mergeCell ref="B52:C52"/>
    <mergeCell ref="B64:C64"/>
    <mergeCell ref="B73:C73"/>
    <mergeCell ref="B83:C83"/>
    <mergeCell ref="B100:C100"/>
    <mergeCell ref="B111:C111"/>
    <mergeCell ref="B127:C127"/>
    <mergeCell ref="B144:C144"/>
    <mergeCell ref="B154:C154"/>
    <mergeCell ref="B132:K134"/>
    <mergeCell ref="B150:K152"/>
    <mergeCell ref="B106:K109"/>
    <mergeCell ref="B116:K117"/>
    <mergeCell ref="B78:K81"/>
    <mergeCell ref="C97:D97"/>
    <mergeCell ref="C98:D98"/>
    <mergeCell ref="B89:K89"/>
    <mergeCell ref="B1:E1"/>
    <mergeCell ref="B50:K50"/>
    <mergeCell ref="B69:K71"/>
    <mergeCell ref="B58:K62"/>
    <mergeCell ref="B3:K3"/>
    <mergeCell ref="B5:K5"/>
    <mergeCell ref="B12:K13"/>
    <mergeCell ref="C15:E15"/>
    <mergeCell ref="B33:K33"/>
    <mergeCell ref="B40:K4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D3A9-5C59-4C08-BCD6-2A47A2CDFDEC}">
  <dimension ref="B1:G109"/>
  <sheetViews>
    <sheetView showGridLines="0" topLeftCell="A33" zoomScale="130" zoomScaleNormal="130" workbookViewId="0">
      <selection activeCell="D58" sqref="D58"/>
    </sheetView>
  </sheetViews>
  <sheetFormatPr baseColWidth="10" defaultColWidth="11.53125" defaultRowHeight="14.25" x14ac:dyDescent="0.45"/>
  <cols>
    <col min="1" max="1" width="3.796875" style="193" customWidth="1"/>
    <col min="2" max="2" width="35.53125" style="180" customWidth="1"/>
    <col min="3" max="3" width="15.86328125" style="180" customWidth="1"/>
    <col min="4" max="4" width="14.33203125" style="180" bestFit="1" customWidth="1"/>
    <col min="5" max="5" width="16.86328125" style="180" bestFit="1" customWidth="1"/>
    <col min="6" max="6" width="16.6640625" style="180" customWidth="1"/>
    <col min="7" max="7" width="16.86328125" style="180" bestFit="1" customWidth="1"/>
    <col min="8" max="16384" width="11.53125" style="193"/>
  </cols>
  <sheetData>
    <row r="1" spans="2:7" ht="14.65" thickBot="1" x14ac:dyDescent="0.5"/>
    <row r="2" spans="2:7" ht="14.45" customHeight="1" x14ac:dyDescent="0.45">
      <c r="B2" s="530" t="s">
        <v>202</v>
      </c>
      <c r="C2" s="531"/>
      <c r="D2" s="531"/>
      <c r="E2" s="531"/>
      <c r="F2" s="531"/>
      <c r="G2" s="532"/>
    </row>
    <row r="3" spans="2:7" ht="14.65" thickBot="1" x14ac:dyDescent="0.5">
      <c r="B3" s="533"/>
      <c r="C3" s="534"/>
      <c r="D3" s="534"/>
      <c r="E3" s="534"/>
      <c r="F3" s="534"/>
      <c r="G3" s="535"/>
    </row>
    <row r="4" spans="2:7" ht="14.65" thickBot="1" x14ac:dyDescent="0.5"/>
    <row r="5" spans="2:7" x14ac:dyDescent="0.45">
      <c r="B5" s="536" t="s">
        <v>1</v>
      </c>
      <c r="C5" s="188" t="s">
        <v>164</v>
      </c>
      <c r="D5" s="188" t="s">
        <v>164</v>
      </c>
      <c r="E5" s="547" t="s">
        <v>182</v>
      </c>
      <c r="F5" s="188" t="s">
        <v>190</v>
      </c>
      <c r="G5" s="547" t="s">
        <v>58</v>
      </c>
    </row>
    <row r="6" spans="2:7" ht="14.65" thickBot="1" x14ac:dyDescent="0.5">
      <c r="B6" s="537"/>
      <c r="C6" s="221" t="s">
        <v>191</v>
      </c>
      <c r="D6" s="221" t="s">
        <v>165</v>
      </c>
      <c r="E6" s="548"/>
      <c r="F6" s="221" t="s">
        <v>192</v>
      </c>
      <c r="G6" s="548"/>
    </row>
    <row r="7" spans="2:7" x14ac:dyDescent="0.45">
      <c r="B7" s="236" t="s">
        <v>41</v>
      </c>
      <c r="C7" s="243"/>
      <c r="D7" s="243"/>
      <c r="E7" s="243"/>
      <c r="F7" s="243"/>
      <c r="G7" s="244"/>
    </row>
    <row r="8" spans="2:7" x14ac:dyDescent="0.45">
      <c r="B8" s="224" t="s">
        <v>193</v>
      </c>
      <c r="C8" s="183">
        <v>0</v>
      </c>
      <c r="D8" s="183">
        <v>0</v>
      </c>
      <c r="E8" s="194">
        <v>60000000</v>
      </c>
      <c r="F8" s="182">
        <v>0</v>
      </c>
      <c r="G8" s="225">
        <f>+E8</f>
        <v>60000000</v>
      </c>
    </row>
    <row r="9" spans="2:7" x14ac:dyDescent="0.45">
      <c r="B9" s="226" t="s">
        <v>201</v>
      </c>
      <c r="C9" s="185"/>
      <c r="D9" s="185"/>
      <c r="E9" s="195">
        <f>+E8*0.15</f>
        <v>9000000</v>
      </c>
      <c r="F9" s="185"/>
      <c r="G9" s="227">
        <f>+E9</f>
        <v>9000000</v>
      </c>
    </row>
    <row r="10" spans="2:7" x14ac:dyDescent="0.45">
      <c r="B10" s="228" t="s">
        <v>194</v>
      </c>
      <c r="C10" s="186"/>
      <c r="D10" s="186"/>
      <c r="E10" s="196">
        <f>+E8+E9</f>
        <v>69000000</v>
      </c>
      <c r="F10" s="186"/>
      <c r="G10" s="229">
        <f>+G8+G9</f>
        <v>69000000</v>
      </c>
    </row>
    <row r="11" spans="2:7" ht="6" customHeight="1" x14ac:dyDescent="0.45">
      <c r="B11" s="222"/>
      <c r="C11" s="181"/>
      <c r="D11" s="181"/>
      <c r="E11" s="181"/>
      <c r="F11" s="181"/>
      <c r="G11" s="230"/>
    </row>
    <row r="12" spans="2:7" x14ac:dyDescent="0.45">
      <c r="B12" s="222" t="s">
        <v>195</v>
      </c>
      <c r="C12" s="182"/>
      <c r="D12" s="182"/>
      <c r="E12" s="182"/>
      <c r="F12" s="182"/>
      <c r="G12" s="223"/>
    </row>
    <row r="13" spans="2:7" x14ac:dyDescent="0.45">
      <c r="B13" s="224" t="s">
        <v>196</v>
      </c>
      <c r="C13" s="183">
        <v>1</v>
      </c>
      <c r="D13" s="183">
        <v>16</v>
      </c>
      <c r="E13" s="191">
        <v>150000000</v>
      </c>
      <c r="F13" s="194">
        <f>ROUND(+E15/16,0)</f>
        <v>10781250</v>
      </c>
      <c r="G13" s="231"/>
    </row>
    <row r="14" spans="2:7" x14ac:dyDescent="0.45">
      <c r="B14" s="226" t="s">
        <v>201</v>
      </c>
      <c r="C14" s="185"/>
      <c r="D14" s="185"/>
      <c r="E14" s="195">
        <f>+E13*0.15</f>
        <v>22500000</v>
      </c>
      <c r="F14" s="195"/>
      <c r="G14" s="227"/>
    </row>
    <row r="15" spans="2:7" ht="14.65" thickBot="1" x14ac:dyDescent="0.5">
      <c r="B15" s="232" t="s">
        <v>197</v>
      </c>
      <c r="C15" s="233"/>
      <c r="D15" s="233"/>
      <c r="E15" s="234">
        <f>+E13+E14</f>
        <v>172500000</v>
      </c>
      <c r="F15" s="234">
        <f>+F13+F14</f>
        <v>10781250</v>
      </c>
      <c r="G15" s="235">
        <f>+E15-F15</f>
        <v>161718750</v>
      </c>
    </row>
    <row r="16" spans="2:7" ht="14.65" thickBot="1" x14ac:dyDescent="0.5"/>
    <row r="17" spans="2:7" x14ac:dyDescent="0.45">
      <c r="B17" s="530" t="s">
        <v>203</v>
      </c>
      <c r="C17" s="531"/>
      <c r="D17" s="531"/>
      <c r="E17" s="531"/>
      <c r="F17" s="531"/>
      <c r="G17" s="532"/>
    </row>
    <row r="18" spans="2:7" ht="14.65" thickBot="1" x14ac:dyDescent="0.5">
      <c r="B18" s="533"/>
      <c r="C18" s="534"/>
      <c r="D18" s="534"/>
      <c r="E18" s="534"/>
      <c r="F18" s="534"/>
      <c r="G18" s="535"/>
    </row>
    <row r="19" spans="2:7" ht="6" customHeight="1" thickBot="1" x14ac:dyDescent="0.5"/>
    <row r="20" spans="2:7" x14ac:dyDescent="0.45">
      <c r="B20" s="545" t="s">
        <v>1</v>
      </c>
      <c r="C20" s="188" t="s">
        <v>164</v>
      </c>
      <c r="D20" s="188" t="s">
        <v>164</v>
      </c>
      <c r="E20" s="547" t="s">
        <v>182</v>
      </c>
      <c r="F20" s="188" t="s">
        <v>190</v>
      </c>
      <c r="G20" s="547" t="s">
        <v>58</v>
      </c>
    </row>
    <row r="21" spans="2:7" ht="14.65" thickBot="1" x14ac:dyDescent="0.5">
      <c r="B21" s="546"/>
      <c r="C21" s="221" t="s">
        <v>191</v>
      </c>
      <c r="D21" s="221" t="s">
        <v>165</v>
      </c>
      <c r="E21" s="548"/>
      <c r="F21" s="221" t="s">
        <v>192</v>
      </c>
      <c r="G21" s="548"/>
    </row>
    <row r="22" spans="2:7" x14ac:dyDescent="0.45">
      <c r="B22" s="236" t="s">
        <v>41</v>
      </c>
      <c r="C22" s="243"/>
      <c r="D22" s="243"/>
      <c r="E22" s="243"/>
      <c r="F22" s="243"/>
      <c r="G22" s="244"/>
    </row>
    <row r="23" spans="2:7" x14ac:dyDescent="0.45">
      <c r="B23" s="224" t="s">
        <v>193</v>
      </c>
      <c r="C23" s="183">
        <v>0</v>
      </c>
      <c r="D23" s="183">
        <v>0</v>
      </c>
      <c r="E23" s="194">
        <v>60000000</v>
      </c>
      <c r="F23" s="182">
        <v>0</v>
      </c>
      <c r="G23" s="225">
        <f>+E23</f>
        <v>60000000</v>
      </c>
    </row>
    <row r="24" spans="2:7" ht="4.8" customHeight="1" x14ac:dyDescent="0.45">
      <c r="B24" s="226"/>
      <c r="C24" s="185"/>
      <c r="D24" s="185"/>
      <c r="E24" s="195"/>
      <c r="F24" s="185"/>
      <c r="G24" s="227"/>
    </row>
    <row r="25" spans="2:7" x14ac:dyDescent="0.45">
      <c r="B25" s="228" t="s">
        <v>194</v>
      </c>
      <c r="C25" s="186"/>
      <c r="D25" s="186"/>
      <c r="E25" s="196">
        <f>+E23+E24</f>
        <v>60000000</v>
      </c>
      <c r="F25" s="186"/>
      <c r="G25" s="229">
        <f>+G23+G24</f>
        <v>60000000</v>
      </c>
    </row>
    <row r="26" spans="2:7" ht="3" customHeight="1" x14ac:dyDescent="0.45">
      <c r="B26" s="222"/>
      <c r="C26" s="181"/>
      <c r="D26" s="181"/>
      <c r="E26" s="181"/>
      <c r="F26" s="181"/>
      <c r="G26" s="230"/>
    </row>
    <row r="27" spans="2:7" x14ac:dyDescent="0.45">
      <c r="B27" s="222" t="s">
        <v>195</v>
      </c>
      <c r="C27" s="182"/>
      <c r="D27" s="182"/>
      <c r="E27" s="182"/>
      <c r="F27" s="182"/>
      <c r="G27" s="223"/>
    </row>
    <row r="28" spans="2:7" x14ac:dyDescent="0.45">
      <c r="B28" s="224" t="s">
        <v>196</v>
      </c>
      <c r="C28" s="183">
        <v>1</v>
      </c>
      <c r="D28" s="183">
        <v>40</v>
      </c>
      <c r="E28" s="191">
        <v>150000000</v>
      </c>
      <c r="F28" s="194">
        <f>ROUND(+E30/40,0)</f>
        <v>3750000</v>
      </c>
      <c r="G28" s="231"/>
    </row>
    <row r="29" spans="2:7" ht="3" customHeight="1" x14ac:dyDescent="0.45">
      <c r="B29" s="226"/>
      <c r="C29" s="185"/>
      <c r="D29" s="185"/>
      <c r="E29" s="195"/>
      <c r="F29" s="195"/>
      <c r="G29" s="227"/>
    </row>
    <row r="30" spans="2:7" ht="14.65" thickBot="1" x14ac:dyDescent="0.5">
      <c r="B30" s="232" t="s">
        <v>197</v>
      </c>
      <c r="C30" s="233"/>
      <c r="D30" s="233"/>
      <c r="E30" s="234">
        <f>+E28+E29</f>
        <v>150000000</v>
      </c>
      <c r="F30" s="234">
        <f>+F28+F29</f>
        <v>3750000</v>
      </c>
      <c r="G30" s="235">
        <f>+E30-F30</f>
        <v>146250000</v>
      </c>
    </row>
    <row r="31" spans="2:7" ht="14.65" thickBot="1" x14ac:dyDescent="0.5"/>
    <row r="32" spans="2:7" ht="14.45" customHeight="1" thickBot="1" x14ac:dyDescent="0.5">
      <c r="B32" s="538" t="s">
        <v>200</v>
      </c>
      <c r="C32" s="539"/>
      <c r="D32" s="539"/>
      <c r="E32" s="539"/>
      <c r="F32" s="539"/>
      <c r="G32" s="540"/>
    </row>
    <row r="33" spans="2:7" ht="14.65" thickBot="1" x14ac:dyDescent="0.5"/>
    <row r="34" spans="2:7" x14ac:dyDescent="0.45">
      <c r="B34" s="541" t="s">
        <v>1</v>
      </c>
      <c r="C34" s="541" t="s">
        <v>199</v>
      </c>
      <c r="D34" s="188" t="s">
        <v>164</v>
      </c>
      <c r="E34" s="543" t="s">
        <v>198</v>
      </c>
      <c r="G34" s="189"/>
    </row>
    <row r="35" spans="2:7" ht="14.65" thickBot="1" x14ac:dyDescent="0.5">
      <c r="B35" s="542"/>
      <c r="C35" s="542"/>
      <c r="D35" s="221" t="s">
        <v>165</v>
      </c>
      <c r="E35" s="544"/>
      <c r="G35" s="189"/>
    </row>
    <row r="36" spans="2:7" x14ac:dyDescent="0.45">
      <c r="B36" s="236" t="s">
        <v>41</v>
      </c>
      <c r="C36" s="190"/>
      <c r="D36" s="190"/>
      <c r="E36" s="237"/>
    </row>
    <row r="37" spans="2:7" x14ac:dyDescent="0.45">
      <c r="B37" s="224" t="s">
        <v>193</v>
      </c>
      <c r="C37" s="187">
        <v>20000000</v>
      </c>
      <c r="D37" s="185"/>
      <c r="E37" s="238"/>
    </row>
    <row r="38" spans="2:7" ht="5.45" customHeight="1" x14ac:dyDescent="0.45">
      <c r="B38" s="224"/>
      <c r="C38" s="187"/>
      <c r="D38" s="185"/>
      <c r="E38" s="238"/>
    </row>
    <row r="39" spans="2:7" x14ac:dyDescent="0.45">
      <c r="B39" s="222" t="s">
        <v>195</v>
      </c>
      <c r="C39" s="184"/>
      <c r="D39" s="182"/>
      <c r="E39" s="238"/>
    </row>
    <row r="40" spans="2:7" ht="14.65" thickBot="1" x14ac:dyDescent="0.5">
      <c r="B40" s="239" t="s">
        <v>196</v>
      </c>
      <c r="C40" s="240">
        <v>200000000</v>
      </c>
      <c r="D40" s="241">
        <v>50</v>
      </c>
      <c r="E40" s="242">
        <v>20000000</v>
      </c>
    </row>
    <row r="42" spans="2:7" ht="14.65" thickBot="1" x14ac:dyDescent="0.5"/>
    <row r="43" spans="2:7" x14ac:dyDescent="0.45">
      <c r="B43" s="549" t="s">
        <v>1</v>
      </c>
      <c r="C43" s="549" t="s">
        <v>332</v>
      </c>
      <c r="D43" s="549" t="s">
        <v>293</v>
      </c>
      <c r="E43" s="549" t="s">
        <v>294</v>
      </c>
    </row>
    <row r="44" spans="2:7" ht="14.65" thickBot="1" x14ac:dyDescent="0.5">
      <c r="B44" s="550"/>
      <c r="C44" s="550"/>
      <c r="D44" s="550"/>
      <c r="E44" s="550"/>
    </row>
    <row r="45" spans="2:7" ht="6.6" customHeight="1" x14ac:dyDescent="0.45">
      <c r="B45" s="364"/>
      <c r="C45" s="365"/>
      <c r="D45" s="365"/>
      <c r="E45" s="365"/>
    </row>
    <row r="46" spans="2:7" x14ac:dyDescent="0.45">
      <c r="B46" s="365" t="str">
        <f>+BCE!B29</f>
        <v>Terrenos</v>
      </c>
      <c r="C46" s="368">
        <f>+BCE!C29</f>
        <v>60000000</v>
      </c>
      <c r="D46" s="369">
        <f>+C37</f>
        <v>20000000</v>
      </c>
      <c r="E46" s="368">
        <f>+D46-C46</f>
        <v>-40000000</v>
      </c>
    </row>
    <row r="47" spans="2:7" ht="6.6" customHeight="1" thickBot="1" x14ac:dyDescent="0.5">
      <c r="B47" s="366"/>
      <c r="C47" s="367"/>
      <c r="D47" s="367"/>
      <c r="E47" s="367"/>
    </row>
    <row r="48" spans="2:7" ht="14.65" thickBot="1" x14ac:dyDescent="0.5"/>
    <row r="49" spans="2:5" x14ac:dyDescent="0.45">
      <c r="B49" s="549" t="s">
        <v>1</v>
      </c>
      <c r="C49" s="549" t="s">
        <v>332</v>
      </c>
      <c r="D49" s="549" t="s">
        <v>293</v>
      </c>
      <c r="E49" s="549" t="s">
        <v>294</v>
      </c>
    </row>
    <row r="50" spans="2:5" ht="14.65" thickBot="1" x14ac:dyDescent="0.5">
      <c r="B50" s="550"/>
      <c r="C50" s="550"/>
      <c r="D50" s="550"/>
      <c r="E50" s="550"/>
    </row>
    <row r="51" spans="2:5" ht="16.5" x14ac:dyDescent="0.45">
      <c r="B51" s="364" t="str">
        <f>+BCE!B27</f>
        <v>Edificios</v>
      </c>
      <c r="C51" s="368">
        <f>+BCE!C27</f>
        <v>150000000</v>
      </c>
      <c r="D51" s="365"/>
      <c r="E51" s="365"/>
    </row>
    <row r="52" spans="2:5" ht="14.65" thickBot="1" x14ac:dyDescent="0.5">
      <c r="B52" s="365" t="str">
        <f>+BCE!B28</f>
        <v>Dep. Acum Edificios</v>
      </c>
      <c r="C52" s="368">
        <f>+BCE!C28</f>
        <v>-3750000</v>
      </c>
      <c r="D52" s="369"/>
      <c r="E52" s="368"/>
    </row>
    <row r="53" spans="2:5" ht="14.65" thickBot="1" x14ac:dyDescent="0.5">
      <c r="B53" s="372" t="s">
        <v>58</v>
      </c>
      <c r="C53" s="373">
        <f>SUM(C51:C52)</f>
        <v>146250000</v>
      </c>
      <c r="D53" s="372">
        <v>200000000</v>
      </c>
      <c r="E53" s="373">
        <f>+D53-C53</f>
        <v>53750000</v>
      </c>
    </row>
    <row r="91" spans="2:2" ht="16.5" x14ac:dyDescent="0.45">
      <c r="B91" s="192"/>
    </row>
    <row r="109" spans="2:2" ht="16.5" x14ac:dyDescent="0.45">
      <c r="B109" s="192"/>
    </row>
  </sheetData>
  <mergeCells count="20">
    <mergeCell ref="B43:B44"/>
    <mergeCell ref="C43:C44"/>
    <mergeCell ref="E43:E44"/>
    <mergeCell ref="D43:D44"/>
    <mergeCell ref="B49:B50"/>
    <mergeCell ref="C49:C50"/>
    <mergeCell ref="D49:D50"/>
    <mergeCell ref="E49:E50"/>
    <mergeCell ref="B2:G3"/>
    <mergeCell ref="B5:B6"/>
    <mergeCell ref="B32:G32"/>
    <mergeCell ref="B34:B35"/>
    <mergeCell ref="E34:E35"/>
    <mergeCell ref="B17:G18"/>
    <mergeCell ref="B20:B21"/>
    <mergeCell ref="C34:C35"/>
    <mergeCell ref="E20:E21"/>
    <mergeCell ref="G20:G21"/>
    <mergeCell ref="E5:E6"/>
    <mergeCell ref="G5:G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4B824-4100-4254-9140-DC5F58E4C42D}">
  <dimension ref="B1:U140"/>
  <sheetViews>
    <sheetView topLeftCell="A72" zoomScale="120" zoomScaleNormal="120" workbookViewId="0">
      <selection activeCell="F81" sqref="F81"/>
    </sheetView>
  </sheetViews>
  <sheetFormatPr baseColWidth="10" defaultColWidth="10.86328125" defaultRowHeight="16.5" x14ac:dyDescent="0.45"/>
  <cols>
    <col min="1" max="1" width="1.86328125" style="105" customWidth="1"/>
    <col min="2" max="2" width="12.6640625" style="105" customWidth="1"/>
    <col min="3" max="3" width="4.46484375" style="105" customWidth="1"/>
    <col min="4" max="4" width="24.1328125" style="105" customWidth="1"/>
    <col min="5" max="5" width="12.46484375" style="105" customWidth="1"/>
    <col min="6" max="6" width="18.86328125" style="105" bestFit="1" customWidth="1"/>
    <col min="7" max="7" width="17" style="105" bestFit="1" customWidth="1"/>
    <col min="8" max="8" width="19.796875" style="105" bestFit="1" customWidth="1"/>
    <col min="9" max="9" width="21.53125" style="105" bestFit="1" customWidth="1"/>
    <col min="10" max="10" width="6" style="105" customWidth="1"/>
    <col min="11" max="11" width="15.46484375" style="105" bestFit="1" customWidth="1"/>
    <col min="12" max="12" width="18.6640625" style="105" bestFit="1" customWidth="1"/>
    <col min="13" max="13" width="4.33203125" style="105" customWidth="1"/>
    <col min="14" max="14" width="7.53125" style="105" customWidth="1"/>
    <col min="15" max="18" width="14.53125" style="107" customWidth="1"/>
    <col min="19" max="19" width="18.53125" style="105" bestFit="1" customWidth="1"/>
    <col min="20" max="20" width="13.53125" style="105" bestFit="1" customWidth="1"/>
    <col min="21" max="16384" width="10.86328125" style="105"/>
  </cols>
  <sheetData>
    <row r="1" spans="2:21" ht="16.899999999999999" thickBot="1" x14ac:dyDescent="0.5">
      <c r="D1" s="106" t="s">
        <v>154</v>
      </c>
      <c r="E1" s="106"/>
    </row>
    <row r="2" spans="2:21" ht="16.899999999999999" thickBot="1" x14ac:dyDescent="0.5">
      <c r="D2" s="105" t="s">
        <v>155</v>
      </c>
      <c r="H2" s="108" t="s">
        <v>153</v>
      </c>
      <c r="I2" s="108" t="s">
        <v>70</v>
      </c>
    </row>
    <row r="3" spans="2:21" x14ac:dyDescent="0.45">
      <c r="D3" s="105" t="s">
        <v>156</v>
      </c>
      <c r="H3" s="109" t="s">
        <v>157</v>
      </c>
      <c r="I3" s="110">
        <v>0</v>
      </c>
    </row>
    <row r="4" spans="2:21" ht="16.899999999999999" thickBot="1" x14ac:dyDescent="0.5">
      <c r="D4" s="117" t="s">
        <v>158</v>
      </c>
      <c r="E4" s="118">
        <v>130</v>
      </c>
      <c r="F4" s="111" t="s">
        <v>153</v>
      </c>
      <c r="H4" s="109" t="s">
        <v>159</v>
      </c>
      <c r="I4" s="110">
        <v>0</v>
      </c>
    </row>
    <row r="5" spans="2:21" x14ac:dyDescent="0.45">
      <c r="D5" s="105" t="s">
        <v>160</v>
      </c>
      <c r="E5" s="112">
        <f>10*12</f>
        <v>120</v>
      </c>
      <c r="F5" s="111" t="s">
        <v>161</v>
      </c>
      <c r="H5" s="109" t="s">
        <v>53</v>
      </c>
      <c r="I5" s="113">
        <v>38134.379999999997</v>
      </c>
      <c r="K5" s="114"/>
      <c r="N5" s="252"/>
      <c r="O5" s="380"/>
      <c r="P5" s="380"/>
      <c r="Q5" s="380"/>
      <c r="R5" s="380"/>
      <c r="S5" s="119"/>
    </row>
    <row r="6" spans="2:21" ht="16.899999999999999" thickBot="1" x14ac:dyDescent="0.5">
      <c r="D6" s="117" t="s">
        <v>162</v>
      </c>
      <c r="E6" s="118">
        <v>180</v>
      </c>
      <c r="F6" s="111" t="s">
        <v>153</v>
      </c>
      <c r="G6" s="111"/>
      <c r="H6" s="109" t="s">
        <v>54</v>
      </c>
      <c r="I6" s="113">
        <v>38500.620000000003</v>
      </c>
      <c r="N6" s="148"/>
      <c r="O6" s="137"/>
      <c r="P6" s="137"/>
      <c r="Q6" s="137"/>
      <c r="R6" s="137"/>
      <c r="S6" s="149"/>
    </row>
    <row r="7" spans="2:21" ht="16.899999999999999" thickBot="1" x14ac:dyDescent="0.5">
      <c r="D7" s="117" t="s">
        <v>163</v>
      </c>
      <c r="E7" s="118">
        <v>150</v>
      </c>
      <c r="F7" s="111" t="s">
        <v>153</v>
      </c>
      <c r="G7" s="111"/>
      <c r="H7" s="115" t="s">
        <v>55</v>
      </c>
      <c r="I7" s="116">
        <v>38800.97</v>
      </c>
      <c r="N7" s="148"/>
      <c r="O7" s="137"/>
      <c r="P7" s="250">
        <f>+F9</f>
        <v>7.1999999999999998E-3</v>
      </c>
      <c r="Q7" s="137"/>
      <c r="R7" s="137"/>
      <c r="S7" s="149"/>
    </row>
    <row r="8" spans="2:21" x14ac:dyDescent="0.45">
      <c r="D8" s="117" t="s">
        <v>164</v>
      </c>
      <c r="E8" s="118">
        <v>50</v>
      </c>
      <c r="F8" s="111" t="s">
        <v>165</v>
      </c>
      <c r="G8" s="111"/>
      <c r="N8" s="381" t="s">
        <v>6</v>
      </c>
      <c r="O8" s="249" t="s">
        <v>166</v>
      </c>
      <c r="P8" s="249" t="s">
        <v>167</v>
      </c>
      <c r="Q8" s="249" t="s">
        <v>168</v>
      </c>
      <c r="R8" s="249" t="s">
        <v>43</v>
      </c>
      <c r="S8" s="149"/>
    </row>
    <row r="9" spans="2:21" ht="16.899999999999999" thickBot="1" x14ac:dyDescent="0.5">
      <c r="D9" s="117" t="s">
        <v>169</v>
      </c>
      <c r="E9" s="120">
        <v>0.09</v>
      </c>
      <c r="F9" s="106">
        <f>ROUND(((1+E9)^(1/12))-1,4)</f>
        <v>7.1999999999999998E-3</v>
      </c>
      <c r="G9" s="121" t="s">
        <v>170</v>
      </c>
      <c r="H9" s="111"/>
      <c r="N9" s="382">
        <v>0</v>
      </c>
      <c r="O9" s="122">
        <v>0</v>
      </c>
      <c r="P9" s="122">
        <v>0</v>
      </c>
      <c r="Q9" s="122">
        <v>0</v>
      </c>
      <c r="R9" s="123">
        <f>+H22</f>
        <v>10485</v>
      </c>
      <c r="S9" s="383" t="s">
        <v>54</v>
      </c>
    </row>
    <row r="10" spans="2:21" ht="16.899999999999999" thickBot="1" x14ac:dyDescent="0.5">
      <c r="D10" s="117" t="s">
        <v>171</v>
      </c>
      <c r="E10" s="118"/>
      <c r="F10" s="124">
        <v>300000000</v>
      </c>
      <c r="G10" s="125"/>
      <c r="H10" s="111"/>
      <c r="N10" s="384">
        <v>1</v>
      </c>
      <c r="O10" s="385">
        <f>+F17</f>
        <v>130</v>
      </c>
      <c r="P10" s="385">
        <f>ROUND(+R9*$P$7,2)</f>
        <v>75.489999999999995</v>
      </c>
      <c r="Q10" s="385">
        <f>+O10-P10</f>
        <v>54.510000000000005</v>
      </c>
      <c r="R10" s="386">
        <f>+R9-Q10</f>
        <v>10430.49</v>
      </c>
      <c r="S10" s="387" t="s">
        <v>55</v>
      </c>
    </row>
    <row r="11" spans="2:21" ht="16.899999999999999" thickBot="1" x14ac:dyDescent="0.5">
      <c r="B11" s="126"/>
      <c r="D11" s="247" t="s">
        <v>187</v>
      </c>
      <c r="E11" s="248"/>
      <c r="F11" s="145"/>
      <c r="G11" s="128"/>
      <c r="H11" s="554" t="s">
        <v>172</v>
      </c>
      <c r="I11" s="554"/>
      <c r="N11" s="376">
        <v>2</v>
      </c>
      <c r="O11" s="377">
        <f>+O10</f>
        <v>130</v>
      </c>
      <c r="P11" s="378">
        <f t="shared" ref="P11:P74" si="0">ROUND(+R10*$P$7,2)</f>
        <v>75.099999999999994</v>
      </c>
      <c r="Q11" s="378">
        <f t="shared" ref="Q11:Q74" si="1">+O11-P11</f>
        <v>54.900000000000006</v>
      </c>
      <c r="R11" s="379">
        <f t="shared" ref="R11:R74" si="2">+R10-Q11</f>
        <v>10375.59</v>
      </c>
      <c r="S11" s="131"/>
    </row>
    <row r="12" spans="2:21" x14ac:dyDescent="0.45">
      <c r="D12" s="127"/>
      <c r="N12" s="132">
        <v>3</v>
      </c>
      <c r="O12" s="374">
        <f t="shared" ref="O12:O75" si="3">+O11</f>
        <v>130</v>
      </c>
      <c r="P12" s="122">
        <f t="shared" si="0"/>
        <v>74.7</v>
      </c>
      <c r="Q12" s="122">
        <f t="shared" si="1"/>
        <v>55.3</v>
      </c>
      <c r="R12" s="123">
        <f t="shared" si="2"/>
        <v>10320.290000000001</v>
      </c>
      <c r="S12" s="131"/>
    </row>
    <row r="13" spans="2:21" ht="16.899999999999999" thickBot="1" x14ac:dyDescent="0.5">
      <c r="N13" s="132">
        <v>4</v>
      </c>
      <c r="O13" s="374">
        <f t="shared" si="3"/>
        <v>130</v>
      </c>
      <c r="P13" s="122">
        <f t="shared" si="0"/>
        <v>74.31</v>
      </c>
      <c r="Q13" s="122">
        <f t="shared" si="1"/>
        <v>55.69</v>
      </c>
      <c r="R13" s="123">
        <f t="shared" si="2"/>
        <v>10264.6</v>
      </c>
      <c r="S13" s="131"/>
    </row>
    <row r="14" spans="2:21" s="111" customFormat="1" ht="16.899999999999999" thickBot="1" x14ac:dyDescent="0.5">
      <c r="B14" s="111" t="s">
        <v>50</v>
      </c>
      <c r="C14" s="111" t="s">
        <v>51</v>
      </c>
      <c r="D14" s="129" t="s">
        <v>173</v>
      </c>
      <c r="E14" s="111" t="s">
        <v>52</v>
      </c>
      <c r="F14" s="111" t="s">
        <v>174</v>
      </c>
      <c r="G14" s="111" t="s">
        <v>175</v>
      </c>
      <c r="H14" s="130" t="s">
        <v>176</v>
      </c>
      <c r="I14" s="111" t="s">
        <v>52</v>
      </c>
      <c r="J14" s="555" t="s">
        <v>163</v>
      </c>
      <c r="K14" s="555"/>
      <c r="L14" s="555"/>
      <c r="N14" s="132">
        <v>5</v>
      </c>
      <c r="O14" s="374">
        <f t="shared" si="3"/>
        <v>130</v>
      </c>
      <c r="P14" s="122">
        <f t="shared" si="0"/>
        <v>73.91</v>
      </c>
      <c r="Q14" s="122">
        <f t="shared" si="1"/>
        <v>56.09</v>
      </c>
      <c r="R14" s="123">
        <f t="shared" si="2"/>
        <v>10208.51</v>
      </c>
      <c r="S14" s="131"/>
      <c r="T14" s="105"/>
    </row>
    <row r="15" spans="2:21" x14ac:dyDescent="0.45">
      <c r="H15" s="111" t="s">
        <v>177</v>
      </c>
      <c r="J15" s="556" t="s">
        <v>178</v>
      </c>
      <c r="K15" s="556"/>
      <c r="L15" s="556"/>
      <c r="N15" s="132">
        <v>6</v>
      </c>
      <c r="O15" s="374">
        <f t="shared" si="3"/>
        <v>130</v>
      </c>
      <c r="P15" s="122">
        <f t="shared" si="0"/>
        <v>73.5</v>
      </c>
      <c r="Q15" s="122">
        <f t="shared" si="1"/>
        <v>56.5</v>
      </c>
      <c r="R15" s="123">
        <f t="shared" si="2"/>
        <v>10152.01</v>
      </c>
      <c r="S15" s="131"/>
      <c r="T15" s="133"/>
      <c r="U15" s="134"/>
    </row>
    <row r="16" spans="2:21" ht="16.899999999999999" thickBot="1" x14ac:dyDescent="0.5">
      <c r="I16" s="111"/>
      <c r="J16" s="556"/>
      <c r="K16" s="556"/>
      <c r="L16" s="556"/>
      <c r="N16" s="132">
        <v>7</v>
      </c>
      <c r="O16" s="374">
        <f t="shared" si="3"/>
        <v>130</v>
      </c>
      <c r="P16" s="122">
        <f t="shared" si="0"/>
        <v>73.09</v>
      </c>
      <c r="Q16" s="122">
        <f t="shared" si="1"/>
        <v>56.91</v>
      </c>
      <c r="R16" s="123">
        <f t="shared" si="2"/>
        <v>10095.1</v>
      </c>
      <c r="S16" s="131"/>
      <c r="T16" s="133"/>
      <c r="U16" s="134"/>
    </row>
    <row r="17" spans="2:21" s="111" customFormat="1" ht="16.899999999999999" thickBot="1" x14ac:dyDescent="0.5">
      <c r="B17" s="111" t="s">
        <v>50</v>
      </c>
      <c r="C17" s="111" t="s">
        <v>51</v>
      </c>
      <c r="D17" s="108">
        <f>+E6</f>
        <v>180</v>
      </c>
      <c r="E17" s="111" t="s">
        <v>52</v>
      </c>
      <c r="F17" s="111">
        <f>+E4</f>
        <v>130</v>
      </c>
      <c r="G17" s="111" t="s">
        <v>175</v>
      </c>
      <c r="H17" s="135">
        <f>((1+F9)^E5)-1</f>
        <v>1.3652990206870839</v>
      </c>
      <c r="I17" s="111" t="s">
        <v>52</v>
      </c>
      <c r="J17" s="555">
        <f>+E7</f>
        <v>150</v>
      </c>
      <c r="K17" s="555"/>
      <c r="L17" s="555"/>
      <c r="N17" s="132">
        <v>8</v>
      </c>
      <c r="O17" s="374">
        <f t="shared" si="3"/>
        <v>130</v>
      </c>
      <c r="P17" s="122">
        <f t="shared" si="0"/>
        <v>72.680000000000007</v>
      </c>
      <c r="Q17" s="122">
        <f t="shared" si="1"/>
        <v>57.319999999999993</v>
      </c>
      <c r="R17" s="123">
        <f t="shared" si="2"/>
        <v>10037.780000000001</v>
      </c>
      <c r="S17" s="131"/>
      <c r="T17" s="133"/>
      <c r="U17" s="136"/>
    </row>
    <row r="18" spans="2:21" ht="16.899999999999999" thickTop="1" x14ac:dyDescent="0.45">
      <c r="H18" s="118">
        <f>(F9)*((1+F9)^E5)</f>
        <v>1.7030152948947004E-2</v>
      </c>
      <c r="J18" s="560">
        <f>(1+F9)^(E5+1)</f>
        <v>2.3823291736360308</v>
      </c>
      <c r="K18" s="560"/>
      <c r="L18" s="560"/>
      <c r="N18" s="132">
        <v>9</v>
      </c>
      <c r="O18" s="374">
        <f t="shared" si="3"/>
        <v>130</v>
      </c>
      <c r="P18" s="122">
        <f t="shared" si="0"/>
        <v>72.27</v>
      </c>
      <c r="Q18" s="122">
        <f t="shared" si="1"/>
        <v>57.730000000000004</v>
      </c>
      <c r="R18" s="123">
        <f t="shared" si="2"/>
        <v>9980.0500000000011</v>
      </c>
      <c r="S18" s="131"/>
    </row>
    <row r="19" spans="2:21" x14ac:dyDescent="0.45">
      <c r="J19" s="111"/>
      <c r="K19" s="111"/>
      <c r="L19" s="111"/>
      <c r="N19" s="132">
        <v>10</v>
      </c>
      <c r="O19" s="374">
        <f t="shared" si="3"/>
        <v>130</v>
      </c>
      <c r="P19" s="122">
        <f t="shared" si="0"/>
        <v>71.86</v>
      </c>
      <c r="Q19" s="122">
        <f t="shared" si="1"/>
        <v>58.14</v>
      </c>
      <c r="R19" s="123">
        <f t="shared" si="2"/>
        <v>9921.9100000000017</v>
      </c>
      <c r="S19" s="131"/>
    </row>
    <row r="20" spans="2:21" x14ac:dyDescent="0.45">
      <c r="B20" s="111" t="s">
        <v>50</v>
      </c>
      <c r="C20" s="111" t="s">
        <v>51</v>
      </c>
      <c r="D20" s="111">
        <f>+D17</f>
        <v>180</v>
      </c>
      <c r="E20" s="111" t="s">
        <v>52</v>
      </c>
      <c r="G20" s="137">
        <f>ROUND(+F17*H17/H18,2)</f>
        <v>10422.040000000001</v>
      </c>
      <c r="H20" s="107"/>
      <c r="I20" s="105" t="s">
        <v>52</v>
      </c>
      <c r="J20" s="111"/>
      <c r="K20" s="138">
        <f>ROUND(+J17/J18,2)</f>
        <v>62.96</v>
      </c>
      <c r="L20" s="111"/>
      <c r="N20" s="132">
        <v>11</v>
      </c>
      <c r="O20" s="374">
        <f t="shared" si="3"/>
        <v>130</v>
      </c>
      <c r="P20" s="122">
        <f t="shared" si="0"/>
        <v>71.44</v>
      </c>
      <c r="Q20" s="122">
        <f t="shared" si="1"/>
        <v>58.56</v>
      </c>
      <c r="R20" s="123">
        <f t="shared" si="2"/>
        <v>9863.3500000000022</v>
      </c>
      <c r="S20" s="131"/>
    </row>
    <row r="21" spans="2:21" ht="16.899999999999999" thickBot="1" x14ac:dyDescent="0.5">
      <c r="F21" s="139"/>
      <c r="G21" s="111"/>
      <c r="J21" s="111"/>
      <c r="K21" s="111"/>
      <c r="L21" s="111"/>
      <c r="N21" s="132">
        <v>12</v>
      </c>
      <c r="O21" s="374">
        <f t="shared" si="3"/>
        <v>130</v>
      </c>
      <c r="P21" s="122">
        <f t="shared" si="0"/>
        <v>71.02</v>
      </c>
      <c r="Q21" s="122">
        <f t="shared" si="1"/>
        <v>58.980000000000004</v>
      </c>
      <c r="R21" s="123">
        <f t="shared" si="2"/>
        <v>9804.3700000000026</v>
      </c>
      <c r="S21" s="131"/>
    </row>
    <row r="22" spans="2:21" ht="16.899999999999999" thickBot="1" x14ac:dyDescent="0.5">
      <c r="B22" s="140" t="s">
        <v>50</v>
      </c>
      <c r="C22" s="141" t="s">
        <v>51</v>
      </c>
      <c r="D22" s="142">
        <f>+D20+H22</f>
        <v>10665</v>
      </c>
      <c r="F22" s="139"/>
      <c r="G22" s="124"/>
      <c r="H22" s="143">
        <f>+G20+K20</f>
        <v>10485</v>
      </c>
      <c r="I22" s="144" t="str">
        <f>+H11</f>
        <v>Valor descontado</v>
      </c>
      <c r="J22" s="145"/>
      <c r="K22" s="111"/>
      <c r="N22" s="132">
        <v>13</v>
      </c>
      <c r="O22" s="374">
        <f t="shared" si="3"/>
        <v>130</v>
      </c>
      <c r="P22" s="122">
        <f t="shared" si="0"/>
        <v>70.59</v>
      </c>
      <c r="Q22" s="122">
        <f t="shared" si="1"/>
        <v>59.41</v>
      </c>
      <c r="R22" s="123">
        <f t="shared" si="2"/>
        <v>9744.9600000000028</v>
      </c>
      <c r="S22" s="131"/>
    </row>
    <row r="23" spans="2:21" ht="16.899999999999999" thickBot="1" x14ac:dyDescent="0.5">
      <c r="F23" s="139"/>
      <c r="G23" s="124"/>
      <c r="J23" s="111"/>
      <c r="K23" s="111"/>
      <c r="L23" s="111"/>
      <c r="N23" s="132">
        <v>14</v>
      </c>
      <c r="O23" s="374">
        <f t="shared" si="3"/>
        <v>130</v>
      </c>
      <c r="P23" s="122">
        <f t="shared" si="0"/>
        <v>70.16</v>
      </c>
      <c r="Q23" s="122">
        <f t="shared" si="1"/>
        <v>59.84</v>
      </c>
      <c r="R23" s="123">
        <f t="shared" si="2"/>
        <v>9685.1200000000026</v>
      </c>
      <c r="S23" s="131"/>
    </row>
    <row r="24" spans="2:21" ht="16.899999999999999" thickBot="1" x14ac:dyDescent="0.5">
      <c r="B24" s="146" t="s">
        <v>2</v>
      </c>
      <c r="C24" s="557" t="s">
        <v>1</v>
      </c>
      <c r="D24" s="558"/>
      <c r="E24" s="558"/>
      <c r="F24" s="558"/>
      <c r="G24" s="559"/>
      <c r="H24" s="146" t="s">
        <v>3</v>
      </c>
      <c r="I24" s="146" t="s">
        <v>4</v>
      </c>
      <c r="K24" s="561" t="s">
        <v>179</v>
      </c>
      <c r="L24" s="562"/>
      <c r="N24" s="132">
        <v>15</v>
      </c>
      <c r="O24" s="374">
        <f t="shared" si="3"/>
        <v>130</v>
      </c>
      <c r="P24" s="122">
        <f t="shared" si="0"/>
        <v>69.73</v>
      </c>
      <c r="Q24" s="122">
        <f t="shared" si="1"/>
        <v>60.269999999999996</v>
      </c>
      <c r="R24" s="123">
        <f t="shared" si="2"/>
        <v>9624.8500000000022</v>
      </c>
      <c r="S24" s="131"/>
    </row>
    <row r="25" spans="2:21" x14ac:dyDescent="0.45">
      <c r="B25" s="147" t="s">
        <v>180</v>
      </c>
      <c r="C25" s="148"/>
      <c r="D25" s="111" t="s">
        <v>5</v>
      </c>
      <c r="E25" s="111">
        <v>1</v>
      </c>
      <c r="F25" s="111" t="s">
        <v>5</v>
      </c>
      <c r="G25" s="149"/>
      <c r="H25" s="150"/>
      <c r="I25" s="150"/>
      <c r="K25" s="151">
        <f>ROUND(+D17*I6,0)</f>
        <v>6930112</v>
      </c>
      <c r="L25" s="152" t="s">
        <v>58</v>
      </c>
      <c r="N25" s="132">
        <v>16</v>
      </c>
      <c r="O25" s="374">
        <f t="shared" si="3"/>
        <v>130</v>
      </c>
      <c r="P25" s="122">
        <f t="shared" si="0"/>
        <v>69.3</v>
      </c>
      <c r="Q25" s="122">
        <f t="shared" si="1"/>
        <v>60.7</v>
      </c>
      <c r="R25" s="123">
        <f t="shared" si="2"/>
        <v>9564.1500000000015</v>
      </c>
    </row>
    <row r="26" spans="2:21" x14ac:dyDescent="0.45">
      <c r="B26" s="147" t="s">
        <v>264</v>
      </c>
      <c r="C26" s="148" t="str">
        <f>+C80</f>
        <v>Activo por derechos de uso</v>
      </c>
      <c r="E26" s="111"/>
      <c r="F26" s="388">
        <f>+D22</f>
        <v>10665</v>
      </c>
      <c r="G26" s="149"/>
      <c r="H26" s="391">
        <f>ROUND(+D22*I6,0)</f>
        <v>410609112</v>
      </c>
      <c r="I26" s="150"/>
      <c r="K26" s="174">
        <f>+K25*0.19</f>
        <v>1316721.28</v>
      </c>
      <c r="L26" s="245" t="s">
        <v>181</v>
      </c>
      <c r="N26" s="132">
        <v>17</v>
      </c>
      <c r="O26" s="374">
        <f t="shared" si="3"/>
        <v>130</v>
      </c>
      <c r="P26" s="122">
        <f t="shared" si="0"/>
        <v>68.86</v>
      </c>
      <c r="Q26" s="122">
        <f t="shared" si="1"/>
        <v>61.14</v>
      </c>
      <c r="R26" s="123">
        <f t="shared" si="2"/>
        <v>9503.010000000002</v>
      </c>
    </row>
    <row r="27" spans="2:21" ht="16.899999999999999" thickBot="1" x14ac:dyDescent="0.5">
      <c r="B27" s="147" t="s">
        <v>264</v>
      </c>
      <c r="C27" s="148" t="s">
        <v>336</v>
      </c>
      <c r="G27" s="149"/>
      <c r="H27" s="150">
        <f>+K26</f>
        <v>1316721.28</v>
      </c>
      <c r="I27" s="150"/>
      <c r="K27" s="175">
        <f>+K25+K26</f>
        <v>8246833.2800000003</v>
      </c>
      <c r="L27" s="246" t="s">
        <v>182</v>
      </c>
      <c r="N27" s="132">
        <v>18</v>
      </c>
      <c r="O27" s="374">
        <f t="shared" si="3"/>
        <v>130</v>
      </c>
      <c r="P27" s="122">
        <f t="shared" si="0"/>
        <v>68.42</v>
      </c>
      <c r="Q27" s="122">
        <f t="shared" si="1"/>
        <v>61.58</v>
      </c>
      <c r="R27" s="123">
        <f t="shared" si="2"/>
        <v>9441.4300000000021</v>
      </c>
    </row>
    <row r="28" spans="2:21" x14ac:dyDescent="0.45">
      <c r="B28" s="147" t="s">
        <v>265</v>
      </c>
      <c r="C28" s="148"/>
      <c r="D28" s="389">
        <f>+H22</f>
        <v>10485</v>
      </c>
      <c r="E28" s="105" t="str">
        <f>+C81</f>
        <v>Obligaciones por derechos de uso</v>
      </c>
      <c r="G28" s="149"/>
      <c r="H28" s="150"/>
      <c r="I28" s="150">
        <f>ROUND(+D28*I6,0)-1</f>
        <v>403679000</v>
      </c>
      <c r="L28" s="153"/>
      <c r="N28" s="132">
        <v>19</v>
      </c>
      <c r="O28" s="374">
        <f t="shared" si="3"/>
        <v>130</v>
      </c>
      <c r="P28" s="122">
        <f t="shared" si="0"/>
        <v>67.98</v>
      </c>
      <c r="Q28" s="122">
        <f t="shared" si="1"/>
        <v>62.019999999999996</v>
      </c>
      <c r="R28" s="123">
        <f t="shared" si="2"/>
        <v>9379.4100000000017</v>
      </c>
    </row>
    <row r="29" spans="2:21" x14ac:dyDescent="0.45">
      <c r="B29" s="147" t="s">
        <v>264</v>
      </c>
      <c r="C29" s="148"/>
      <c r="D29" s="154"/>
      <c r="E29" s="105" t="s">
        <v>17</v>
      </c>
      <c r="G29" s="251"/>
      <c r="H29" s="150"/>
      <c r="I29" s="150">
        <f>+K27</f>
        <v>8246833.2800000003</v>
      </c>
      <c r="K29" s="155"/>
      <c r="L29" s="153"/>
      <c r="N29" s="132">
        <v>20</v>
      </c>
      <c r="O29" s="374">
        <f t="shared" si="3"/>
        <v>130</v>
      </c>
      <c r="P29" s="122">
        <f t="shared" si="0"/>
        <v>67.53</v>
      </c>
      <c r="Q29" s="122">
        <f t="shared" si="1"/>
        <v>62.47</v>
      </c>
      <c r="R29" s="123">
        <f t="shared" si="2"/>
        <v>9316.9400000000023</v>
      </c>
    </row>
    <row r="30" spans="2:21" ht="16.899999999999999" thickBot="1" x14ac:dyDescent="0.5">
      <c r="B30" s="156"/>
      <c r="C30" s="157" t="s">
        <v>183</v>
      </c>
      <c r="D30" s="158"/>
      <c r="E30" s="158"/>
      <c r="F30" s="158"/>
      <c r="G30" s="159"/>
      <c r="H30" s="160"/>
      <c r="I30" s="160"/>
      <c r="L30" s="153"/>
      <c r="M30" s="111"/>
      <c r="N30" s="132">
        <v>21</v>
      </c>
      <c r="O30" s="374">
        <f t="shared" si="3"/>
        <v>130</v>
      </c>
      <c r="P30" s="122">
        <f t="shared" si="0"/>
        <v>67.08</v>
      </c>
      <c r="Q30" s="122">
        <f t="shared" si="1"/>
        <v>62.92</v>
      </c>
      <c r="R30" s="123">
        <f t="shared" si="2"/>
        <v>9254.0200000000023</v>
      </c>
    </row>
    <row r="31" spans="2:21" ht="16.899999999999999" thickBot="1" x14ac:dyDescent="0.5">
      <c r="H31" s="161">
        <f>SUM(H25:H30)</f>
        <v>411925833.27999997</v>
      </c>
      <c r="I31" s="161">
        <f>SUM(I25:I30)</f>
        <v>411925833.27999997</v>
      </c>
      <c r="M31" s="131"/>
      <c r="N31" s="132">
        <v>22</v>
      </c>
      <c r="O31" s="374">
        <f t="shared" si="3"/>
        <v>130</v>
      </c>
      <c r="P31" s="122">
        <f t="shared" si="0"/>
        <v>66.63</v>
      </c>
      <c r="Q31" s="122">
        <f t="shared" si="1"/>
        <v>63.370000000000005</v>
      </c>
      <c r="R31" s="123">
        <f t="shared" si="2"/>
        <v>9190.6500000000015</v>
      </c>
    </row>
    <row r="32" spans="2:21" x14ac:dyDescent="0.45">
      <c r="B32" s="105" t="s">
        <v>220</v>
      </c>
      <c r="F32" s="117" t="s">
        <v>54</v>
      </c>
      <c r="G32" s="162">
        <f>+I6</f>
        <v>38500.620000000003</v>
      </c>
      <c r="I32" s="163">
        <f>+H31-I31</f>
        <v>0</v>
      </c>
      <c r="J32" s="164" t="s">
        <v>184</v>
      </c>
      <c r="K32" s="164"/>
      <c r="M32" s="131"/>
      <c r="N32" s="132">
        <v>23</v>
      </c>
      <c r="O32" s="374">
        <f t="shared" si="3"/>
        <v>130</v>
      </c>
      <c r="P32" s="122">
        <f t="shared" si="0"/>
        <v>66.17</v>
      </c>
      <c r="Q32" s="122">
        <f t="shared" si="1"/>
        <v>63.83</v>
      </c>
      <c r="R32" s="123">
        <f t="shared" si="2"/>
        <v>9126.8200000000015</v>
      </c>
    </row>
    <row r="33" spans="2:18" ht="16.899999999999999" thickBot="1" x14ac:dyDescent="0.5">
      <c r="F33" s="165" t="s">
        <v>55</v>
      </c>
      <c r="G33" s="166">
        <f>+I7</f>
        <v>38800.97</v>
      </c>
      <c r="H33" s="153"/>
      <c r="M33" s="131"/>
      <c r="N33" s="132">
        <v>24</v>
      </c>
      <c r="O33" s="374">
        <f t="shared" si="3"/>
        <v>130</v>
      </c>
      <c r="P33" s="122">
        <f t="shared" si="0"/>
        <v>65.709999999999994</v>
      </c>
      <c r="Q33" s="122">
        <f t="shared" si="1"/>
        <v>64.290000000000006</v>
      </c>
      <c r="R33" s="123">
        <f t="shared" si="2"/>
        <v>9062.5300000000007</v>
      </c>
    </row>
    <row r="34" spans="2:18" ht="16.899999999999999" thickBot="1" x14ac:dyDescent="0.5">
      <c r="F34" s="107"/>
      <c r="G34" s="167">
        <f>+G33-G32</f>
        <v>300.34999999999854</v>
      </c>
      <c r="H34" s="111"/>
      <c r="M34" s="131"/>
      <c r="N34" s="132">
        <v>25</v>
      </c>
      <c r="O34" s="374">
        <f t="shared" si="3"/>
        <v>130</v>
      </c>
      <c r="P34" s="122">
        <f t="shared" si="0"/>
        <v>65.25</v>
      </c>
      <c r="Q34" s="122">
        <f t="shared" si="1"/>
        <v>64.75</v>
      </c>
      <c r="R34" s="123">
        <f t="shared" si="2"/>
        <v>8997.7800000000007</v>
      </c>
    </row>
    <row r="35" spans="2:18" ht="16.899999999999999" thickBot="1" x14ac:dyDescent="0.5">
      <c r="M35" s="131"/>
      <c r="N35" s="132">
        <v>26</v>
      </c>
      <c r="O35" s="374">
        <f t="shared" si="3"/>
        <v>130</v>
      </c>
      <c r="P35" s="122">
        <f t="shared" si="0"/>
        <v>64.78</v>
      </c>
      <c r="Q35" s="122">
        <f t="shared" si="1"/>
        <v>65.22</v>
      </c>
      <c r="R35" s="123">
        <f t="shared" si="2"/>
        <v>8932.5600000000013</v>
      </c>
    </row>
    <row r="36" spans="2:18" ht="16.899999999999999" thickBot="1" x14ac:dyDescent="0.5">
      <c r="B36" s="146" t="s">
        <v>2</v>
      </c>
      <c r="C36" s="557" t="s">
        <v>1</v>
      </c>
      <c r="D36" s="558"/>
      <c r="E36" s="558"/>
      <c r="F36" s="558"/>
      <c r="G36" s="559"/>
      <c r="H36" s="146" t="s">
        <v>3</v>
      </c>
      <c r="I36" s="146" t="s">
        <v>4</v>
      </c>
      <c r="L36" s="111"/>
      <c r="M36" s="131"/>
      <c r="N36" s="132">
        <v>27</v>
      </c>
      <c r="O36" s="374">
        <f t="shared" si="3"/>
        <v>130</v>
      </c>
      <c r="P36" s="122">
        <f t="shared" si="0"/>
        <v>64.31</v>
      </c>
      <c r="Q36" s="122">
        <f t="shared" si="1"/>
        <v>65.69</v>
      </c>
      <c r="R36" s="123">
        <f t="shared" si="2"/>
        <v>8866.8700000000008</v>
      </c>
    </row>
    <row r="37" spans="2:18" x14ac:dyDescent="0.45">
      <c r="B37" s="147" t="s">
        <v>185</v>
      </c>
      <c r="C37" s="148"/>
      <c r="D37" s="111" t="s">
        <v>5</v>
      </c>
      <c r="E37" s="111">
        <v>2</v>
      </c>
      <c r="F37" s="111" t="s">
        <v>5</v>
      </c>
      <c r="G37" s="149"/>
      <c r="H37" s="150"/>
      <c r="I37" s="150"/>
      <c r="N37" s="132">
        <v>28</v>
      </c>
      <c r="O37" s="374">
        <f t="shared" si="3"/>
        <v>130</v>
      </c>
      <c r="P37" s="122">
        <f t="shared" si="0"/>
        <v>63.84</v>
      </c>
      <c r="Q37" s="122">
        <f t="shared" si="1"/>
        <v>66.16</v>
      </c>
      <c r="R37" s="123">
        <f t="shared" si="2"/>
        <v>8800.7100000000009</v>
      </c>
    </row>
    <row r="38" spans="2:18" x14ac:dyDescent="0.45">
      <c r="B38" s="147" t="s">
        <v>264</v>
      </c>
      <c r="C38" s="148" t="str">
        <f>+C26</f>
        <v>Activo por derechos de uso</v>
      </c>
      <c r="G38" s="149"/>
      <c r="H38" s="391">
        <f>ROUND(+G34*D28,0)</f>
        <v>3149170</v>
      </c>
      <c r="I38" s="150"/>
      <c r="N38" s="132">
        <v>29</v>
      </c>
      <c r="O38" s="374">
        <f t="shared" si="3"/>
        <v>130</v>
      </c>
      <c r="P38" s="122">
        <f t="shared" si="0"/>
        <v>63.37</v>
      </c>
      <c r="Q38" s="122">
        <f t="shared" si="1"/>
        <v>66.63</v>
      </c>
      <c r="R38" s="123">
        <f t="shared" si="2"/>
        <v>8734.0800000000017</v>
      </c>
    </row>
    <row r="39" spans="2:18" x14ac:dyDescent="0.45">
      <c r="B39" s="147" t="s">
        <v>265</v>
      </c>
      <c r="C39" s="148"/>
      <c r="E39" s="105" t="str">
        <f>+E28</f>
        <v>Obligaciones por derechos de uso</v>
      </c>
      <c r="G39" s="149"/>
      <c r="H39" s="150"/>
      <c r="I39" s="150">
        <f>+H38</f>
        <v>3149170</v>
      </c>
      <c r="L39" s="114"/>
      <c r="N39" s="132">
        <v>30</v>
      </c>
      <c r="O39" s="374">
        <f t="shared" si="3"/>
        <v>130</v>
      </c>
      <c r="P39" s="122">
        <f t="shared" si="0"/>
        <v>62.89</v>
      </c>
      <c r="Q39" s="122">
        <f t="shared" si="1"/>
        <v>67.11</v>
      </c>
      <c r="R39" s="123">
        <f t="shared" si="2"/>
        <v>8666.9700000000012</v>
      </c>
    </row>
    <row r="40" spans="2:18" x14ac:dyDescent="0.45">
      <c r="B40" s="147"/>
      <c r="C40" s="148"/>
      <c r="G40" s="149"/>
      <c r="H40" s="150"/>
      <c r="I40" s="150"/>
      <c r="N40" s="132">
        <v>31</v>
      </c>
      <c r="O40" s="374">
        <f t="shared" si="3"/>
        <v>130</v>
      </c>
      <c r="P40" s="122">
        <f t="shared" si="0"/>
        <v>62.4</v>
      </c>
      <c r="Q40" s="122">
        <f t="shared" si="1"/>
        <v>67.599999999999994</v>
      </c>
      <c r="R40" s="123">
        <f t="shared" si="2"/>
        <v>8599.3700000000008</v>
      </c>
    </row>
    <row r="41" spans="2:18" x14ac:dyDescent="0.45">
      <c r="B41" s="147"/>
      <c r="C41" s="148"/>
      <c r="G41" s="149"/>
      <c r="H41" s="150"/>
      <c r="I41" s="150"/>
      <c r="N41" s="132">
        <v>32</v>
      </c>
      <c r="O41" s="374">
        <f t="shared" si="3"/>
        <v>130</v>
      </c>
      <c r="P41" s="122">
        <f t="shared" si="0"/>
        <v>61.92</v>
      </c>
      <c r="Q41" s="122">
        <f t="shared" si="1"/>
        <v>68.08</v>
      </c>
      <c r="R41" s="123">
        <f t="shared" si="2"/>
        <v>8531.2900000000009</v>
      </c>
    </row>
    <row r="42" spans="2:18" ht="16.899999999999999" thickBot="1" x14ac:dyDescent="0.5">
      <c r="B42" s="156"/>
      <c r="C42" s="157"/>
      <c r="D42" s="168"/>
      <c r="E42" s="158"/>
      <c r="F42" s="169"/>
      <c r="G42" s="170"/>
      <c r="H42" s="160"/>
      <c r="I42" s="160"/>
      <c r="N42" s="132">
        <v>33</v>
      </c>
      <c r="O42" s="374">
        <f t="shared" si="3"/>
        <v>130</v>
      </c>
      <c r="P42" s="122">
        <f t="shared" si="0"/>
        <v>61.43</v>
      </c>
      <c r="Q42" s="122">
        <f t="shared" si="1"/>
        <v>68.569999999999993</v>
      </c>
      <c r="R42" s="123">
        <f t="shared" si="2"/>
        <v>8462.7200000000012</v>
      </c>
    </row>
    <row r="43" spans="2:18" x14ac:dyDescent="0.45">
      <c r="N43" s="132">
        <v>34</v>
      </c>
      <c r="O43" s="374">
        <f t="shared" si="3"/>
        <v>130</v>
      </c>
      <c r="P43" s="122">
        <f t="shared" si="0"/>
        <v>60.93</v>
      </c>
      <c r="Q43" s="122">
        <f t="shared" si="1"/>
        <v>69.069999999999993</v>
      </c>
      <c r="R43" s="123">
        <f t="shared" si="2"/>
        <v>8393.6500000000015</v>
      </c>
    </row>
    <row r="44" spans="2:18" x14ac:dyDescent="0.45">
      <c r="B44" s="105" t="s">
        <v>219</v>
      </c>
      <c r="E44" s="153"/>
      <c r="N44" s="132">
        <v>35</v>
      </c>
      <c r="O44" s="374">
        <f t="shared" si="3"/>
        <v>130</v>
      </c>
      <c r="P44" s="122">
        <f t="shared" si="0"/>
        <v>60.43</v>
      </c>
      <c r="Q44" s="122">
        <f t="shared" si="1"/>
        <v>69.569999999999993</v>
      </c>
      <c r="R44" s="123">
        <f t="shared" si="2"/>
        <v>8324.0800000000017</v>
      </c>
    </row>
    <row r="45" spans="2:18" ht="16.899999999999999" thickBot="1" x14ac:dyDescent="0.5">
      <c r="D45" s="153"/>
      <c r="N45" s="132">
        <v>36</v>
      </c>
      <c r="O45" s="374">
        <f t="shared" si="3"/>
        <v>130</v>
      </c>
      <c r="P45" s="122">
        <f t="shared" si="0"/>
        <v>59.93</v>
      </c>
      <c r="Q45" s="122">
        <f t="shared" si="1"/>
        <v>70.069999999999993</v>
      </c>
      <c r="R45" s="123">
        <f t="shared" si="2"/>
        <v>8254.010000000002</v>
      </c>
    </row>
    <row r="46" spans="2:18" ht="16.899999999999999" thickBot="1" x14ac:dyDescent="0.5">
      <c r="B46" s="146" t="s">
        <v>2</v>
      </c>
      <c r="C46" s="557" t="s">
        <v>1</v>
      </c>
      <c r="D46" s="558"/>
      <c r="E46" s="558"/>
      <c r="F46" s="558"/>
      <c r="G46" s="559"/>
      <c r="H46" s="146" t="s">
        <v>3</v>
      </c>
      <c r="I46" s="146" t="s">
        <v>4</v>
      </c>
      <c r="L46" s="111"/>
      <c r="N46" s="132">
        <v>37</v>
      </c>
      <c r="O46" s="374">
        <f t="shared" si="3"/>
        <v>130</v>
      </c>
      <c r="P46" s="122">
        <f t="shared" si="0"/>
        <v>59.43</v>
      </c>
      <c r="Q46" s="122">
        <f t="shared" si="1"/>
        <v>70.569999999999993</v>
      </c>
      <c r="R46" s="123">
        <f t="shared" si="2"/>
        <v>8183.4400000000023</v>
      </c>
    </row>
    <row r="47" spans="2:18" x14ac:dyDescent="0.45">
      <c r="B47" s="147" t="s">
        <v>185</v>
      </c>
      <c r="C47" s="252"/>
      <c r="D47" s="253" t="s">
        <v>5</v>
      </c>
      <c r="E47" s="253">
        <v>3</v>
      </c>
      <c r="F47" s="253" t="s">
        <v>5</v>
      </c>
      <c r="G47" s="119"/>
      <c r="H47" s="150"/>
      <c r="I47" s="150"/>
      <c r="N47" s="132">
        <v>38</v>
      </c>
      <c r="O47" s="374">
        <f t="shared" si="3"/>
        <v>130</v>
      </c>
      <c r="P47" s="122">
        <f t="shared" si="0"/>
        <v>58.92</v>
      </c>
      <c r="Q47" s="122">
        <f t="shared" si="1"/>
        <v>71.08</v>
      </c>
      <c r="R47" s="123">
        <f t="shared" si="2"/>
        <v>8112.3600000000024</v>
      </c>
    </row>
    <row r="48" spans="2:18" x14ac:dyDescent="0.45">
      <c r="B48" s="147" t="s">
        <v>266</v>
      </c>
      <c r="C48" s="148" t="s">
        <v>269</v>
      </c>
      <c r="G48" s="171"/>
      <c r="H48" s="150">
        <f>ROUND(+P10*I7,0)</f>
        <v>2929085</v>
      </c>
      <c r="I48" s="150"/>
      <c r="N48" s="132">
        <v>39</v>
      </c>
      <c r="O48" s="374">
        <f t="shared" si="3"/>
        <v>130</v>
      </c>
      <c r="P48" s="122">
        <f t="shared" si="0"/>
        <v>58.41</v>
      </c>
      <c r="Q48" s="122">
        <f t="shared" si="1"/>
        <v>71.59</v>
      </c>
      <c r="R48" s="123">
        <f t="shared" si="2"/>
        <v>8040.7700000000023</v>
      </c>
    </row>
    <row r="49" spans="2:18" x14ac:dyDescent="0.45">
      <c r="B49" s="147" t="s">
        <v>265</v>
      </c>
      <c r="C49" s="148"/>
      <c r="E49" s="105" t="str">
        <f>+E39</f>
        <v>Obligaciones por derechos de uso</v>
      </c>
      <c r="G49" s="149"/>
      <c r="H49" s="150"/>
      <c r="I49" s="150">
        <f>+H48</f>
        <v>2929085</v>
      </c>
      <c r="L49" s="114"/>
      <c r="N49" s="132">
        <v>40</v>
      </c>
      <c r="O49" s="374">
        <f t="shared" si="3"/>
        <v>130</v>
      </c>
      <c r="P49" s="122">
        <f t="shared" si="0"/>
        <v>57.89</v>
      </c>
      <c r="Q49" s="122">
        <f t="shared" si="1"/>
        <v>72.11</v>
      </c>
      <c r="R49" s="123">
        <f t="shared" si="2"/>
        <v>7968.6600000000026</v>
      </c>
    </row>
    <row r="50" spans="2:18" x14ac:dyDescent="0.45">
      <c r="B50" s="147"/>
      <c r="C50" s="148"/>
      <c r="G50" s="149"/>
      <c r="H50" s="150"/>
      <c r="I50" s="150"/>
      <c r="N50" s="132">
        <v>41</v>
      </c>
      <c r="O50" s="374">
        <f t="shared" si="3"/>
        <v>130</v>
      </c>
      <c r="P50" s="122">
        <f t="shared" si="0"/>
        <v>57.37</v>
      </c>
      <c r="Q50" s="122">
        <f t="shared" si="1"/>
        <v>72.63</v>
      </c>
      <c r="R50" s="123">
        <f t="shared" si="2"/>
        <v>7896.0300000000025</v>
      </c>
    </row>
    <row r="51" spans="2:18" x14ac:dyDescent="0.45">
      <c r="B51" s="147"/>
      <c r="C51" s="148"/>
      <c r="G51" s="149"/>
      <c r="H51" s="150"/>
      <c r="I51" s="150"/>
      <c r="N51" s="132">
        <v>42</v>
      </c>
      <c r="O51" s="374">
        <f t="shared" si="3"/>
        <v>130</v>
      </c>
      <c r="P51" s="122">
        <f t="shared" si="0"/>
        <v>56.85</v>
      </c>
      <c r="Q51" s="122">
        <f t="shared" si="1"/>
        <v>73.150000000000006</v>
      </c>
      <c r="R51" s="123">
        <f t="shared" si="2"/>
        <v>7822.8800000000028</v>
      </c>
    </row>
    <row r="52" spans="2:18" ht="16.899999999999999" thickBot="1" x14ac:dyDescent="0.5">
      <c r="B52" s="156"/>
      <c r="C52" s="157"/>
      <c r="D52" s="158"/>
      <c r="E52" s="158"/>
      <c r="F52" s="158"/>
      <c r="G52" s="159"/>
      <c r="H52" s="160"/>
      <c r="I52" s="160"/>
      <c r="N52" s="132">
        <v>43</v>
      </c>
      <c r="O52" s="374">
        <f t="shared" si="3"/>
        <v>130</v>
      </c>
      <c r="P52" s="122">
        <f t="shared" si="0"/>
        <v>56.32</v>
      </c>
      <c r="Q52" s="122">
        <f t="shared" si="1"/>
        <v>73.680000000000007</v>
      </c>
      <c r="R52" s="123">
        <f t="shared" si="2"/>
        <v>7749.2000000000025</v>
      </c>
    </row>
    <row r="53" spans="2:18" ht="16.899999999999999" thickBot="1" x14ac:dyDescent="0.5">
      <c r="H53" s="131"/>
      <c r="I53" s="131"/>
      <c r="N53" s="132">
        <v>44</v>
      </c>
      <c r="O53" s="374">
        <f t="shared" si="3"/>
        <v>130</v>
      </c>
      <c r="P53" s="122">
        <f t="shared" si="0"/>
        <v>55.79</v>
      </c>
      <c r="Q53" s="122">
        <f t="shared" si="1"/>
        <v>74.210000000000008</v>
      </c>
      <c r="R53" s="123">
        <f t="shared" si="2"/>
        <v>7674.9900000000025</v>
      </c>
    </row>
    <row r="54" spans="2:18" ht="16.899999999999999" thickBot="1" x14ac:dyDescent="0.5">
      <c r="F54" s="172" t="s">
        <v>179</v>
      </c>
      <c r="G54" s="173"/>
      <c r="N54" s="132">
        <v>45</v>
      </c>
      <c r="O54" s="374">
        <f t="shared" si="3"/>
        <v>130</v>
      </c>
      <c r="P54" s="122">
        <f t="shared" si="0"/>
        <v>55.26</v>
      </c>
      <c r="Q54" s="122">
        <f t="shared" si="1"/>
        <v>74.740000000000009</v>
      </c>
      <c r="R54" s="123">
        <f t="shared" si="2"/>
        <v>7600.2500000000027</v>
      </c>
    </row>
    <row r="55" spans="2:18" x14ac:dyDescent="0.45">
      <c r="B55" s="105" t="s">
        <v>221</v>
      </c>
      <c r="F55" s="174"/>
      <c r="G55" s="147" t="s">
        <v>58</v>
      </c>
      <c r="N55" s="132">
        <v>46</v>
      </c>
      <c r="O55" s="374">
        <f t="shared" si="3"/>
        <v>130</v>
      </c>
      <c r="P55" s="122">
        <f t="shared" si="0"/>
        <v>54.72</v>
      </c>
      <c r="Q55" s="122">
        <f t="shared" si="1"/>
        <v>75.28</v>
      </c>
      <c r="R55" s="123">
        <f t="shared" si="2"/>
        <v>7524.970000000003</v>
      </c>
    </row>
    <row r="56" spans="2:18" ht="16.899999999999999" thickBot="1" x14ac:dyDescent="0.5">
      <c r="F56" s="174"/>
      <c r="G56" s="147" t="s">
        <v>181</v>
      </c>
      <c r="N56" s="132">
        <v>47</v>
      </c>
      <c r="O56" s="374">
        <f t="shared" si="3"/>
        <v>130</v>
      </c>
      <c r="P56" s="122">
        <f t="shared" si="0"/>
        <v>54.18</v>
      </c>
      <c r="Q56" s="122">
        <f t="shared" si="1"/>
        <v>75.819999999999993</v>
      </c>
      <c r="R56" s="123">
        <f t="shared" si="2"/>
        <v>7449.1500000000033</v>
      </c>
    </row>
    <row r="57" spans="2:18" ht="16.899999999999999" thickBot="1" x14ac:dyDescent="0.5">
      <c r="F57" s="254"/>
      <c r="G57" s="156" t="s">
        <v>182</v>
      </c>
      <c r="N57" s="132">
        <v>48</v>
      </c>
      <c r="O57" s="374">
        <f t="shared" si="3"/>
        <v>130</v>
      </c>
      <c r="P57" s="122">
        <f t="shared" si="0"/>
        <v>53.63</v>
      </c>
      <c r="Q57" s="122">
        <f t="shared" si="1"/>
        <v>76.37</v>
      </c>
      <c r="R57" s="123">
        <f t="shared" si="2"/>
        <v>7372.7800000000034</v>
      </c>
    </row>
    <row r="58" spans="2:18" ht="16.899999999999999" thickBot="1" x14ac:dyDescent="0.5">
      <c r="F58" s="131"/>
      <c r="N58" s="132">
        <v>49</v>
      </c>
      <c r="O58" s="374">
        <f t="shared" si="3"/>
        <v>130</v>
      </c>
      <c r="P58" s="122">
        <f t="shared" si="0"/>
        <v>53.08</v>
      </c>
      <c r="Q58" s="122">
        <f t="shared" si="1"/>
        <v>76.92</v>
      </c>
      <c r="R58" s="123">
        <f t="shared" si="2"/>
        <v>7295.8600000000033</v>
      </c>
    </row>
    <row r="59" spans="2:18" ht="16.899999999999999" thickBot="1" x14ac:dyDescent="0.5">
      <c r="B59" s="146" t="s">
        <v>2</v>
      </c>
      <c r="C59" s="557" t="s">
        <v>1</v>
      </c>
      <c r="D59" s="558"/>
      <c r="E59" s="558"/>
      <c r="F59" s="558"/>
      <c r="G59" s="559"/>
      <c r="H59" s="146" t="s">
        <v>3</v>
      </c>
      <c r="I59" s="146" t="s">
        <v>4</v>
      </c>
      <c r="L59" s="111"/>
      <c r="N59" s="132">
        <v>50</v>
      </c>
      <c r="O59" s="374">
        <f t="shared" si="3"/>
        <v>130</v>
      </c>
      <c r="P59" s="122">
        <f t="shared" si="0"/>
        <v>52.53</v>
      </c>
      <c r="Q59" s="122">
        <f t="shared" si="1"/>
        <v>77.47</v>
      </c>
      <c r="R59" s="123">
        <f t="shared" si="2"/>
        <v>7218.3900000000031</v>
      </c>
    </row>
    <row r="60" spans="2:18" x14ac:dyDescent="0.45">
      <c r="B60" s="147" t="s">
        <v>185</v>
      </c>
      <c r="C60" s="148"/>
      <c r="D60" s="111" t="s">
        <v>5</v>
      </c>
      <c r="E60" s="111">
        <v>4</v>
      </c>
      <c r="F60" s="111" t="s">
        <v>5</v>
      </c>
      <c r="G60" s="149"/>
      <c r="H60" s="150"/>
      <c r="I60" s="150"/>
      <c r="N60" s="132">
        <v>51</v>
      </c>
      <c r="O60" s="374">
        <f t="shared" si="3"/>
        <v>130</v>
      </c>
      <c r="P60" s="122">
        <f t="shared" si="0"/>
        <v>51.97</v>
      </c>
      <c r="Q60" s="122">
        <f t="shared" si="1"/>
        <v>78.03</v>
      </c>
      <c r="R60" s="123">
        <f t="shared" si="2"/>
        <v>7140.3600000000033</v>
      </c>
    </row>
    <row r="61" spans="2:18" x14ac:dyDescent="0.45">
      <c r="B61" s="147"/>
      <c r="C61" s="148"/>
      <c r="G61" s="171"/>
      <c r="H61" s="150"/>
      <c r="I61" s="150"/>
      <c r="N61" s="132">
        <v>52</v>
      </c>
      <c r="O61" s="374">
        <f t="shared" si="3"/>
        <v>130</v>
      </c>
      <c r="P61" s="122">
        <f t="shared" si="0"/>
        <v>51.41</v>
      </c>
      <c r="Q61" s="122">
        <f t="shared" si="1"/>
        <v>78.59</v>
      </c>
      <c r="R61" s="123">
        <f t="shared" si="2"/>
        <v>7061.7700000000032</v>
      </c>
    </row>
    <row r="62" spans="2:18" x14ac:dyDescent="0.45">
      <c r="B62" s="147"/>
      <c r="C62" s="148"/>
      <c r="G62" s="149"/>
      <c r="H62" s="150"/>
      <c r="I62" s="150"/>
      <c r="L62" s="114"/>
      <c r="N62" s="132">
        <v>53</v>
      </c>
      <c r="O62" s="374">
        <f t="shared" si="3"/>
        <v>130</v>
      </c>
      <c r="P62" s="122">
        <f t="shared" si="0"/>
        <v>50.84</v>
      </c>
      <c r="Q62" s="122">
        <f t="shared" si="1"/>
        <v>79.16</v>
      </c>
      <c r="R62" s="123">
        <f t="shared" si="2"/>
        <v>6982.6100000000033</v>
      </c>
    </row>
    <row r="63" spans="2:18" x14ac:dyDescent="0.45">
      <c r="B63" s="147"/>
      <c r="C63" s="148"/>
      <c r="G63" s="149"/>
      <c r="H63" s="150"/>
      <c r="I63" s="150"/>
      <c r="N63" s="132">
        <v>54</v>
      </c>
      <c r="O63" s="374">
        <f t="shared" si="3"/>
        <v>130</v>
      </c>
      <c r="P63" s="122">
        <f t="shared" si="0"/>
        <v>50.27</v>
      </c>
      <c r="Q63" s="122">
        <f t="shared" si="1"/>
        <v>79.72999999999999</v>
      </c>
      <c r="R63" s="123">
        <f t="shared" si="2"/>
        <v>6902.8800000000037</v>
      </c>
    </row>
    <row r="64" spans="2:18" x14ac:dyDescent="0.45">
      <c r="B64" s="147"/>
      <c r="C64" s="148"/>
      <c r="G64" s="149"/>
      <c r="H64" s="150"/>
      <c r="I64" s="150"/>
      <c r="N64" s="132">
        <v>55</v>
      </c>
      <c r="O64" s="374">
        <f t="shared" si="3"/>
        <v>130</v>
      </c>
      <c r="P64" s="122">
        <f t="shared" si="0"/>
        <v>49.7</v>
      </c>
      <c r="Q64" s="122">
        <f t="shared" si="1"/>
        <v>80.3</v>
      </c>
      <c r="R64" s="123">
        <f t="shared" si="2"/>
        <v>6822.5800000000036</v>
      </c>
    </row>
    <row r="65" spans="2:18" ht="16.899999999999999" thickBot="1" x14ac:dyDescent="0.5">
      <c r="B65" s="156"/>
      <c r="C65" s="157"/>
      <c r="D65" s="158"/>
      <c r="E65" s="158"/>
      <c r="F65" s="158"/>
      <c r="G65" s="159"/>
      <c r="H65" s="160"/>
      <c r="I65" s="160"/>
      <c r="N65" s="132">
        <v>56</v>
      </c>
      <c r="O65" s="374">
        <f t="shared" si="3"/>
        <v>130</v>
      </c>
      <c r="P65" s="122">
        <f t="shared" si="0"/>
        <v>49.12</v>
      </c>
      <c r="Q65" s="122">
        <f t="shared" si="1"/>
        <v>80.88</v>
      </c>
      <c r="R65" s="123">
        <f t="shared" si="2"/>
        <v>6741.7000000000035</v>
      </c>
    </row>
    <row r="66" spans="2:18" x14ac:dyDescent="0.45">
      <c r="N66" s="132">
        <v>57</v>
      </c>
      <c r="O66" s="374">
        <f t="shared" si="3"/>
        <v>130</v>
      </c>
      <c r="P66" s="122">
        <f t="shared" si="0"/>
        <v>48.54</v>
      </c>
      <c r="Q66" s="122">
        <f t="shared" si="1"/>
        <v>81.460000000000008</v>
      </c>
      <c r="R66" s="123">
        <f t="shared" si="2"/>
        <v>6660.2400000000034</v>
      </c>
    </row>
    <row r="67" spans="2:18" ht="16.899999999999999" thickBot="1" x14ac:dyDescent="0.5">
      <c r="B67" s="105" t="s">
        <v>186</v>
      </c>
      <c r="N67" s="132">
        <v>58</v>
      </c>
      <c r="O67" s="374">
        <f t="shared" si="3"/>
        <v>130</v>
      </c>
      <c r="P67" s="122">
        <f t="shared" si="0"/>
        <v>47.95</v>
      </c>
      <c r="Q67" s="122">
        <f t="shared" si="1"/>
        <v>82.05</v>
      </c>
      <c r="R67" s="123">
        <f t="shared" si="2"/>
        <v>6578.1900000000032</v>
      </c>
    </row>
    <row r="68" spans="2:18" ht="16.899999999999999" thickBot="1" x14ac:dyDescent="0.5">
      <c r="F68" s="390">
        <f>+H26+H38</f>
        <v>413758282</v>
      </c>
      <c r="H68" s="161"/>
      <c r="N68" s="132">
        <v>59</v>
      </c>
      <c r="O68" s="374">
        <f t="shared" si="3"/>
        <v>130</v>
      </c>
      <c r="P68" s="122">
        <f t="shared" si="0"/>
        <v>47.36</v>
      </c>
      <c r="Q68" s="122">
        <f t="shared" si="1"/>
        <v>82.64</v>
      </c>
      <c r="R68" s="123">
        <f t="shared" si="2"/>
        <v>6495.5500000000029</v>
      </c>
    </row>
    <row r="69" spans="2:18" x14ac:dyDescent="0.45">
      <c r="D69" s="105" t="s">
        <v>164</v>
      </c>
      <c r="F69" s="105">
        <f>+E8*12</f>
        <v>600</v>
      </c>
      <c r="G69" s="161"/>
      <c r="N69" s="132">
        <v>60</v>
      </c>
      <c r="O69" s="374">
        <f t="shared" si="3"/>
        <v>130</v>
      </c>
      <c r="P69" s="122">
        <f t="shared" si="0"/>
        <v>46.77</v>
      </c>
      <c r="Q69" s="122">
        <f t="shared" si="1"/>
        <v>83.22999999999999</v>
      </c>
      <c r="R69" s="123">
        <f t="shared" si="2"/>
        <v>6412.3200000000033</v>
      </c>
    </row>
    <row r="70" spans="2:18" ht="16.899999999999999" thickBot="1" x14ac:dyDescent="0.5">
      <c r="N70" s="132">
        <v>61</v>
      </c>
      <c r="O70" s="374">
        <f t="shared" si="3"/>
        <v>130</v>
      </c>
      <c r="P70" s="122">
        <f t="shared" si="0"/>
        <v>46.17</v>
      </c>
      <c r="Q70" s="122">
        <f t="shared" si="1"/>
        <v>83.83</v>
      </c>
      <c r="R70" s="123">
        <f t="shared" si="2"/>
        <v>6328.4900000000034</v>
      </c>
    </row>
    <row r="71" spans="2:18" ht="16.899999999999999" thickBot="1" x14ac:dyDescent="0.5">
      <c r="B71" s="146" t="s">
        <v>2</v>
      </c>
      <c r="C71" s="557" t="s">
        <v>1</v>
      </c>
      <c r="D71" s="558"/>
      <c r="E71" s="558"/>
      <c r="F71" s="558"/>
      <c r="G71" s="559"/>
      <c r="H71" s="146" t="s">
        <v>3</v>
      </c>
      <c r="I71" s="146" t="s">
        <v>4</v>
      </c>
      <c r="L71" s="111"/>
      <c r="N71" s="132">
        <v>62</v>
      </c>
      <c r="O71" s="374">
        <f t="shared" si="3"/>
        <v>130</v>
      </c>
      <c r="P71" s="122">
        <f t="shared" si="0"/>
        <v>45.57</v>
      </c>
      <c r="Q71" s="122">
        <f t="shared" si="1"/>
        <v>84.43</v>
      </c>
      <c r="R71" s="123">
        <f t="shared" si="2"/>
        <v>6244.0600000000031</v>
      </c>
    </row>
    <row r="72" spans="2:18" x14ac:dyDescent="0.45">
      <c r="B72" s="147" t="s">
        <v>185</v>
      </c>
      <c r="C72" s="148"/>
      <c r="D72" s="111" t="s">
        <v>5</v>
      </c>
      <c r="E72" s="111">
        <v>5</v>
      </c>
      <c r="F72" s="111" t="s">
        <v>5</v>
      </c>
      <c r="G72" s="149"/>
      <c r="H72" s="150"/>
      <c r="I72" s="150"/>
      <c r="N72" s="132">
        <v>63</v>
      </c>
      <c r="O72" s="374">
        <f t="shared" si="3"/>
        <v>130</v>
      </c>
      <c r="P72" s="122">
        <f t="shared" si="0"/>
        <v>44.96</v>
      </c>
      <c r="Q72" s="122">
        <f t="shared" si="1"/>
        <v>85.039999999999992</v>
      </c>
      <c r="R72" s="123">
        <f t="shared" si="2"/>
        <v>6159.0200000000032</v>
      </c>
    </row>
    <row r="73" spans="2:18" x14ac:dyDescent="0.45">
      <c r="B73" s="147" t="s">
        <v>266</v>
      </c>
      <c r="C73" s="148" t="str">
        <f>+C83</f>
        <v>Depreciación</v>
      </c>
      <c r="G73" s="171"/>
      <c r="H73" s="150">
        <f>ROUND(+F68/F69,0)</f>
        <v>689597</v>
      </c>
      <c r="I73" s="150"/>
      <c r="N73" s="132">
        <v>64</v>
      </c>
      <c r="O73" s="374">
        <f t="shared" si="3"/>
        <v>130</v>
      </c>
      <c r="P73" s="122">
        <f t="shared" si="0"/>
        <v>44.34</v>
      </c>
      <c r="Q73" s="122">
        <f t="shared" si="1"/>
        <v>85.66</v>
      </c>
      <c r="R73" s="123">
        <f t="shared" si="2"/>
        <v>6073.3600000000033</v>
      </c>
    </row>
    <row r="74" spans="2:18" x14ac:dyDescent="0.45">
      <c r="B74" s="147" t="s">
        <v>265</v>
      </c>
      <c r="C74" s="148"/>
      <c r="E74" s="105" t="str">
        <f>+C84</f>
        <v>Dep. Acum derechos de uso</v>
      </c>
      <c r="G74" s="149"/>
      <c r="H74" s="150"/>
      <c r="I74" s="150">
        <f>+H73</f>
        <v>689597</v>
      </c>
      <c r="L74" s="114"/>
      <c r="N74" s="132">
        <v>65</v>
      </c>
      <c r="O74" s="374">
        <f t="shared" si="3"/>
        <v>130</v>
      </c>
      <c r="P74" s="122">
        <f t="shared" si="0"/>
        <v>43.73</v>
      </c>
      <c r="Q74" s="122">
        <f t="shared" si="1"/>
        <v>86.27000000000001</v>
      </c>
      <c r="R74" s="123">
        <f t="shared" si="2"/>
        <v>5987.0900000000029</v>
      </c>
    </row>
    <row r="75" spans="2:18" x14ac:dyDescent="0.45">
      <c r="B75" s="147"/>
      <c r="C75" s="148"/>
      <c r="G75" s="149"/>
      <c r="H75" s="150"/>
      <c r="I75" s="150"/>
      <c r="N75" s="132">
        <v>66</v>
      </c>
      <c r="O75" s="374">
        <f t="shared" si="3"/>
        <v>130</v>
      </c>
      <c r="P75" s="122">
        <f t="shared" ref="P75:P129" si="4">ROUND(+R74*$P$7,2)</f>
        <v>43.11</v>
      </c>
      <c r="Q75" s="122">
        <f t="shared" ref="Q75:Q130" si="5">+O75-P75</f>
        <v>86.89</v>
      </c>
      <c r="R75" s="123">
        <f t="shared" ref="R75:R130" si="6">+R74-Q75</f>
        <v>5900.2000000000025</v>
      </c>
    </row>
    <row r="76" spans="2:18" x14ac:dyDescent="0.45">
      <c r="B76" s="147"/>
      <c r="C76" s="148"/>
      <c r="G76" s="149"/>
      <c r="H76" s="150"/>
      <c r="I76" s="150"/>
      <c r="N76" s="132">
        <v>67</v>
      </c>
      <c r="O76" s="374">
        <f t="shared" ref="O76:O129" si="7">+O75</f>
        <v>130</v>
      </c>
      <c r="P76" s="122">
        <f t="shared" si="4"/>
        <v>42.48</v>
      </c>
      <c r="Q76" s="122">
        <f t="shared" si="5"/>
        <v>87.52000000000001</v>
      </c>
      <c r="R76" s="123">
        <f t="shared" si="6"/>
        <v>5812.6800000000021</v>
      </c>
    </row>
    <row r="77" spans="2:18" ht="16.899999999999999" thickBot="1" x14ac:dyDescent="0.5">
      <c r="B77" s="156"/>
      <c r="C77" s="157"/>
      <c r="D77" s="158"/>
      <c r="E77" s="158"/>
      <c r="F77" s="158"/>
      <c r="G77" s="159"/>
      <c r="H77" s="160"/>
      <c r="I77" s="160"/>
      <c r="N77" s="132">
        <v>68</v>
      </c>
      <c r="O77" s="374">
        <f t="shared" si="7"/>
        <v>130</v>
      </c>
      <c r="P77" s="122">
        <f t="shared" si="4"/>
        <v>41.85</v>
      </c>
      <c r="Q77" s="122">
        <f t="shared" si="5"/>
        <v>88.15</v>
      </c>
      <c r="R77" s="123">
        <f t="shared" si="6"/>
        <v>5724.5300000000025</v>
      </c>
    </row>
    <row r="78" spans="2:18" ht="16.899999999999999" thickBot="1" x14ac:dyDescent="0.5">
      <c r="N78" s="132">
        <v>69</v>
      </c>
      <c r="O78" s="374">
        <f t="shared" si="7"/>
        <v>130</v>
      </c>
      <c r="P78" s="122">
        <f t="shared" si="4"/>
        <v>41.22</v>
      </c>
      <c r="Q78" s="122">
        <f t="shared" si="5"/>
        <v>88.78</v>
      </c>
      <c r="R78" s="123">
        <f t="shared" si="6"/>
        <v>5635.7500000000027</v>
      </c>
    </row>
    <row r="79" spans="2:18" ht="16.899999999999999" thickBot="1" x14ac:dyDescent="0.5">
      <c r="B79" s="282" t="s">
        <v>270</v>
      </c>
      <c r="C79" s="282" t="s">
        <v>271</v>
      </c>
      <c r="D79" s="283"/>
      <c r="E79" s="283"/>
      <c r="F79" s="283"/>
      <c r="G79" s="284"/>
      <c r="H79" s="285" t="s">
        <v>262</v>
      </c>
      <c r="I79" s="286" t="s">
        <v>263</v>
      </c>
      <c r="K79" s="397" t="s">
        <v>294</v>
      </c>
      <c r="N79" s="132">
        <v>70</v>
      </c>
      <c r="O79" s="374">
        <f t="shared" si="7"/>
        <v>130</v>
      </c>
      <c r="P79" s="122">
        <f t="shared" si="4"/>
        <v>40.58</v>
      </c>
      <c r="Q79" s="122">
        <f t="shared" si="5"/>
        <v>89.42</v>
      </c>
      <c r="R79" s="123">
        <f t="shared" si="6"/>
        <v>5546.3300000000027</v>
      </c>
    </row>
    <row r="80" spans="2:18" x14ac:dyDescent="0.45">
      <c r="B80" s="148" t="s">
        <v>264</v>
      </c>
      <c r="C80" s="148" t="str">
        <f>+BCE!B31</f>
        <v>Activo por derechos de uso</v>
      </c>
      <c r="G80" s="149"/>
      <c r="H80" s="155">
        <f>+H26</f>
        <v>410609112</v>
      </c>
      <c r="I80" s="150">
        <f>+BCE!C31</f>
        <v>430000000</v>
      </c>
      <c r="K80" s="396">
        <f>+H80-I80</f>
        <v>-19390888</v>
      </c>
      <c r="N80" s="132">
        <v>71</v>
      </c>
      <c r="O80" s="374">
        <f t="shared" si="7"/>
        <v>130</v>
      </c>
      <c r="P80" s="122">
        <f t="shared" si="4"/>
        <v>39.93</v>
      </c>
      <c r="Q80" s="122">
        <f t="shared" si="5"/>
        <v>90.07</v>
      </c>
      <c r="R80" s="123">
        <f t="shared" si="6"/>
        <v>5456.2600000000029</v>
      </c>
    </row>
    <row r="81" spans="2:18" x14ac:dyDescent="0.45">
      <c r="B81" s="148" t="s">
        <v>265</v>
      </c>
      <c r="C81" s="148" t="str">
        <f>+BCE!E8</f>
        <v>Obligaciones por derechos de uso</v>
      </c>
      <c r="G81" s="149"/>
      <c r="H81" s="155">
        <f>+I28+I39+I49</f>
        <v>409757255</v>
      </c>
      <c r="I81" s="150">
        <f>+BCE!F8</f>
        <v>425998973</v>
      </c>
      <c r="K81" s="179">
        <f>+H81-I81</f>
        <v>-16241718</v>
      </c>
      <c r="L81" s="114">
        <f>+R10*I7</f>
        <v>404713129.57529998</v>
      </c>
      <c r="N81" s="132">
        <v>72</v>
      </c>
      <c r="O81" s="374">
        <f t="shared" si="7"/>
        <v>130</v>
      </c>
      <c r="P81" s="122">
        <f t="shared" si="4"/>
        <v>39.29</v>
      </c>
      <c r="Q81" s="122">
        <f t="shared" si="5"/>
        <v>90.710000000000008</v>
      </c>
      <c r="R81" s="123">
        <f t="shared" si="6"/>
        <v>5365.5500000000029</v>
      </c>
    </row>
    <row r="82" spans="2:18" x14ac:dyDescent="0.45">
      <c r="B82" s="392" t="s">
        <v>266</v>
      </c>
      <c r="C82" s="392" t="s">
        <v>269</v>
      </c>
      <c r="D82" s="106"/>
      <c r="E82" s="106"/>
      <c r="F82" s="106"/>
      <c r="G82" s="393"/>
      <c r="H82" s="394">
        <f>+H48</f>
        <v>2929085</v>
      </c>
      <c r="I82" s="395"/>
      <c r="K82" s="179"/>
      <c r="N82" s="132">
        <v>73</v>
      </c>
      <c r="O82" s="374">
        <f t="shared" si="7"/>
        <v>130</v>
      </c>
      <c r="P82" s="122">
        <f t="shared" si="4"/>
        <v>38.630000000000003</v>
      </c>
      <c r="Q82" s="122">
        <f t="shared" si="5"/>
        <v>91.37</v>
      </c>
      <c r="R82" s="123">
        <f t="shared" si="6"/>
        <v>5274.180000000003</v>
      </c>
    </row>
    <row r="83" spans="2:18" x14ac:dyDescent="0.45">
      <c r="B83" s="148" t="s">
        <v>266</v>
      </c>
      <c r="C83" s="148" t="s">
        <v>190</v>
      </c>
      <c r="G83" s="149"/>
      <c r="H83" s="155">
        <f>+H73</f>
        <v>689597</v>
      </c>
      <c r="I83" s="150"/>
      <c r="K83" s="179"/>
      <c r="N83" s="132">
        <v>74</v>
      </c>
      <c r="O83" s="374">
        <f t="shared" si="7"/>
        <v>130</v>
      </c>
      <c r="P83" s="122">
        <f t="shared" si="4"/>
        <v>37.97</v>
      </c>
      <c r="Q83" s="122">
        <f t="shared" si="5"/>
        <v>92.03</v>
      </c>
      <c r="R83" s="123">
        <f t="shared" si="6"/>
        <v>5182.1500000000033</v>
      </c>
    </row>
    <row r="84" spans="2:18" ht="16.899999999999999" thickBot="1" x14ac:dyDescent="0.5">
      <c r="B84" s="157" t="s">
        <v>265</v>
      </c>
      <c r="C84" s="157" t="str">
        <f>+BCE!B32</f>
        <v>Dep. Acum derechos de uso</v>
      </c>
      <c r="D84" s="158"/>
      <c r="E84" s="158"/>
      <c r="F84" s="158"/>
      <c r="G84" s="159"/>
      <c r="H84" s="281"/>
      <c r="I84" s="160">
        <f>-BCE!C32</f>
        <v>3583333</v>
      </c>
      <c r="K84" s="398">
        <f>+H83-I84</f>
        <v>-2893736</v>
      </c>
      <c r="N84" s="132">
        <v>75</v>
      </c>
      <c r="O84" s="374">
        <f t="shared" si="7"/>
        <v>130</v>
      </c>
      <c r="P84" s="122">
        <f t="shared" si="4"/>
        <v>37.31</v>
      </c>
      <c r="Q84" s="122">
        <f t="shared" si="5"/>
        <v>92.69</v>
      </c>
      <c r="R84" s="123">
        <f t="shared" si="6"/>
        <v>5089.4600000000037</v>
      </c>
    </row>
    <row r="85" spans="2:18" ht="16.899999999999999" thickBot="1" x14ac:dyDescent="0.5">
      <c r="G85" s="173" t="s">
        <v>58</v>
      </c>
      <c r="H85" s="176">
        <f>+H80-H81-H83</f>
        <v>162260</v>
      </c>
      <c r="I85" s="161"/>
      <c r="K85" s="155"/>
      <c r="N85" s="132">
        <v>76</v>
      </c>
      <c r="O85" s="374">
        <f t="shared" si="7"/>
        <v>130</v>
      </c>
      <c r="P85" s="122">
        <f t="shared" si="4"/>
        <v>36.64</v>
      </c>
      <c r="Q85" s="122">
        <f t="shared" si="5"/>
        <v>93.36</v>
      </c>
      <c r="R85" s="123">
        <f t="shared" si="6"/>
        <v>4996.100000000004</v>
      </c>
    </row>
    <row r="86" spans="2:18" ht="16.899999999999999" thickBot="1" x14ac:dyDescent="0.5">
      <c r="N86" s="132">
        <v>77</v>
      </c>
      <c r="O86" s="374">
        <f t="shared" si="7"/>
        <v>130</v>
      </c>
      <c r="P86" s="122">
        <f t="shared" si="4"/>
        <v>35.97</v>
      </c>
      <c r="Q86" s="122">
        <f t="shared" si="5"/>
        <v>94.03</v>
      </c>
      <c r="R86" s="123">
        <f t="shared" si="6"/>
        <v>4902.0700000000043</v>
      </c>
    </row>
    <row r="87" spans="2:18" ht="16.899999999999999" thickBot="1" x14ac:dyDescent="0.5">
      <c r="B87" s="551" t="s">
        <v>222</v>
      </c>
      <c r="C87" s="552"/>
      <c r="D87" s="552"/>
      <c r="E87" s="552"/>
      <c r="F87" s="552"/>
      <c r="G87" s="552"/>
      <c r="H87" s="552"/>
      <c r="I87" s="553"/>
      <c r="N87" s="132">
        <v>78</v>
      </c>
      <c r="O87" s="374">
        <f t="shared" si="7"/>
        <v>130</v>
      </c>
      <c r="P87" s="122">
        <f t="shared" si="4"/>
        <v>35.29</v>
      </c>
      <c r="Q87" s="122">
        <f t="shared" si="5"/>
        <v>94.710000000000008</v>
      </c>
      <c r="R87" s="123">
        <f t="shared" si="6"/>
        <v>4807.3600000000042</v>
      </c>
    </row>
    <row r="88" spans="2:18" ht="16.899999999999999" thickBot="1" x14ac:dyDescent="0.5">
      <c r="N88" s="132">
        <v>79</v>
      </c>
      <c r="O88" s="374">
        <f t="shared" si="7"/>
        <v>130</v>
      </c>
      <c r="P88" s="122">
        <f t="shared" si="4"/>
        <v>34.61</v>
      </c>
      <c r="Q88" s="122">
        <f t="shared" si="5"/>
        <v>95.39</v>
      </c>
      <c r="R88" s="123">
        <f t="shared" si="6"/>
        <v>4711.9700000000039</v>
      </c>
    </row>
    <row r="89" spans="2:18" ht="16.899999999999999" thickBot="1" x14ac:dyDescent="0.5">
      <c r="B89" s="146" t="s">
        <v>2</v>
      </c>
      <c r="C89" s="318" t="s">
        <v>1</v>
      </c>
      <c r="D89" s="319"/>
      <c r="E89" s="319"/>
      <c r="F89" s="319"/>
      <c r="G89" s="320"/>
      <c r="H89" s="146" t="s">
        <v>3</v>
      </c>
      <c r="I89" s="146" t="s">
        <v>4</v>
      </c>
      <c r="N89" s="132">
        <v>80</v>
      </c>
      <c r="O89" s="374">
        <f t="shared" si="7"/>
        <v>130</v>
      </c>
      <c r="P89" s="122">
        <f t="shared" si="4"/>
        <v>33.93</v>
      </c>
      <c r="Q89" s="122">
        <f t="shared" si="5"/>
        <v>96.07</v>
      </c>
      <c r="R89" s="123">
        <f t="shared" si="6"/>
        <v>4615.9000000000042</v>
      </c>
    </row>
    <row r="90" spans="2:18" x14ac:dyDescent="0.45">
      <c r="B90" s="147" t="s">
        <v>185</v>
      </c>
      <c r="C90" s="148"/>
      <c r="D90" s="111" t="s">
        <v>5</v>
      </c>
      <c r="E90" s="111" t="s">
        <v>175</v>
      </c>
      <c r="F90" s="111" t="s">
        <v>5</v>
      </c>
      <c r="G90" s="149"/>
      <c r="H90" s="150"/>
      <c r="I90" s="150"/>
      <c r="N90" s="132">
        <v>81</v>
      </c>
      <c r="O90" s="374">
        <f t="shared" si="7"/>
        <v>130</v>
      </c>
      <c r="P90" s="122">
        <f t="shared" si="4"/>
        <v>33.229999999999997</v>
      </c>
      <c r="Q90" s="122">
        <f t="shared" si="5"/>
        <v>96.77000000000001</v>
      </c>
      <c r="R90" s="123">
        <f t="shared" si="6"/>
        <v>4519.1300000000037</v>
      </c>
    </row>
    <row r="91" spans="2:18" x14ac:dyDescent="0.45">
      <c r="B91" s="147" t="s">
        <v>265</v>
      </c>
      <c r="C91" s="148" t="str">
        <f>+C81</f>
        <v>Obligaciones por derechos de uso</v>
      </c>
      <c r="G91" s="149"/>
      <c r="H91" s="179">
        <f>-K80</f>
        <v>19390888</v>
      </c>
      <c r="I91" s="179"/>
      <c r="N91" s="132">
        <v>82</v>
      </c>
      <c r="O91" s="374">
        <f t="shared" si="7"/>
        <v>130</v>
      </c>
      <c r="P91" s="122">
        <f t="shared" si="4"/>
        <v>32.54</v>
      </c>
      <c r="Q91" s="122">
        <f t="shared" si="5"/>
        <v>97.460000000000008</v>
      </c>
      <c r="R91" s="123">
        <f t="shared" si="6"/>
        <v>4421.6700000000037</v>
      </c>
    </row>
    <row r="92" spans="2:18" x14ac:dyDescent="0.45">
      <c r="B92" s="147" t="s">
        <v>264</v>
      </c>
      <c r="C92" s="148"/>
      <c r="E92" s="105" t="str">
        <f>+C80</f>
        <v>Activo por derechos de uso</v>
      </c>
      <c r="G92" s="149"/>
      <c r="H92" s="179"/>
      <c r="I92" s="179">
        <f>-K80</f>
        <v>19390888</v>
      </c>
      <c r="N92" s="132">
        <v>83</v>
      </c>
      <c r="O92" s="374">
        <f t="shared" si="7"/>
        <v>130</v>
      </c>
      <c r="P92" s="122">
        <f t="shared" si="4"/>
        <v>31.84</v>
      </c>
      <c r="Q92" s="122">
        <f t="shared" si="5"/>
        <v>98.16</v>
      </c>
      <c r="R92" s="123">
        <f t="shared" si="6"/>
        <v>4323.5100000000039</v>
      </c>
    </row>
    <row r="93" spans="2:18" x14ac:dyDescent="0.45">
      <c r="B93" s="147" t="s">
        <v>265</v>
      </c>
      <c r="C93" s="148" t="str">
        <f>+C84</f>
        <v>Dep. Acum derechos de uso</v>
      </c>
      <c r="G93" s="149"/>
      <c r="H93" s="179">
        <f>-K84</f>
        <v>2893736</v>
      </c>
      <c r="I93" s="147"/>
      <c r="N93" s="132">
        <v>84</v>
      </c>
      <c r="O93" s="374">
        <f t="shared" si="7"/>
        <v>130</v>
      </c>
      <c r="P93" s="122">
        <f t="shared" si="4"/>
        <v>31.13</v>
      </c>
      <c r="Q93" s="122">
        <f t="shared" si="5"/>
        <v>98.87</v>
      </c>
      <c r="R93" s="123">
        <f t="shared" si="6"/>
        <v>4224.640000000004</v>
      </c>
    </row>
    <row r="94" spans="2:18" x14ac:dyDescent="0.45">
      <c r="B94" s="147" t="s">
        <v>266</v>
      </c>
      <c r="C94" s="148"/>
      <c r="E94" s="105" t="str">
        <f>+C83</f>
        <v>Depreciación</v>
      </c>
      <c r="G94" s="171"/>
      <c r="H94" s="150"/>
      <c r="I94" s="150">
        <f>+H93</f>
        <v>2893736</v>
      </c>
      <c r="N94" s="132">
        <v>85</v>
      </c>
      <c r="O94" s="374">
        <f t="shared" si="7"/>
        <v>130</v>
      </c>
      <c r="P94" s="122">
        <f t="shared" si="4"/>
        <v>30.42</v>
      </c>
      <c r="Q94" s="122">
        <f t="shared" si="5"/>
        <v>99.58</v>
      </c>
      <c r="R94" s="123">
        <f t="shared" si="6"/>
        <v>4125.060000000004</v>
      </c>
    </row>
    <row r="95" spans="2:18" x14ac:dyDescent="0.45">
      <c r="B95" s="147"/>
      <c r="C95" s="148"/>
      <c r="G95" s="149"/>
      <c r="H95" s="150"/>
      <c r="I95" s="150"/>
      <c r="N95" s="132">
        <v>86</v>
      </c>
      <c r="O95" s="374">
        <f t="shared" si="7"/>
        <v>130</v>
      </c>
      <c r="P95" s="122">
        <f t="shared" si="4"/>
        <v>29.7</v>
      </c>
      <c r="Q95" s="122">
        <f t="shared" si="5"/>
        <v>100.3</v>
      </c>
      <c r="R95" s="123">
        <f t="shared" si="6"/>
        <v>4024.7600000000039</v>
      </c>
    </row>
    <row r="96" spans="2:18" x14ac:dyDescent="0.45">
      <c r="B96" s="147"/>
      <c r="C96" s="148"/>
      <c r="G96" s="149"/>
      <c r="H96" s="150"/>
      <c r="I96" s="150"/>
      <c r="N96" s="132">
        <v>87</v>
      </c>
      <c r="O96" s="374">
        <f t="shared" si="7"/>
        <v>130</v>
      </c>
      <c r="P96" s="122">
        <f t="shared" si="4"/>
        <v>28.98</v>
      </c>
      <c r="Q96" s="122">
        <f t="shared" si="5"/>
        <v>101.02</v>
      </c>
      <c r="R96" s="123">
        <f t="shared" si="6"/>
        <v>3923.7400000000039</v>
      </c>
    </row>
    <row r="97" spans="2:18" x14ac:dyDescent="0.45">
      <c r="B97" s="147"/>
      <c r="C97" s="148"/>
      <c r="G97" s="149"/>
      <c r="H97" s="150"/>
      <c r="I97" s="150"/>
      <c r="N97" s="132">
        <v>88</v>
      </c>
      <c r="O97" s="374">
        <f t="shared" si="7"/>
        <v>130</v>
      </c>
      <c r="P97" s="122">
        <f t="shared" si="4"/>
        <v>28.25</v>
      </c>
      <c r="Q97" s="122">
        <f t="shared" si="5"/>
        <v>101.75</v>
      </c>
      <c r="R97" s="123">
        <f t="shared" si="6"/>
        <v>3821.9900000000039</v>
      </c>
    </row>
    <row r="98" spans="2:18" ht="16.899999999999999" thickBot="1" x14ac:dyDescent="0.5">
      <c r="B98" s="156"/>
      <c r="C98" s="157"/>
      <c r="D98" s="158"/>
      <c r="E98" s="158"/>
      <c r="F98" s="158"/>
      <c r="G98" s="159"/>
      <c r="H98" s="160"/>
      <c r="I98" s="160"/>
      <c r="N98" s="132">
        <v>89</v>
      </c>
      <c r="O98" s="374">
        <f t="shared" si="7"/>
        <v>130</v>
      </c>
      <c r="P98" s="122">
        <f t="shared" si="4"/>
        <v>27.52</v>
      </c>
      <c r="Q98" s="122">
        <f t="shared" si="5"/>
        <v>102.48</v>
      </c>
      <c r="R98" s="123">
        <f t="shared" si="6"/>
        <v>3719.5100000000039</v>
      </c>
    </row>
    <row r="99" spans="2:18" x14ac:dyDescent="0.45">
      <c r="H99" s="155">
        <f>SUM(H90:H98)</f>
        <v>22284624</v>
      </c>
      <c r="I99" s="155">
        <f>SUM(I90:I98)</f>
        <v>22284624</v>
      </c>
      <c r="N99" s="132">
        <v>90</v>
      </c>
      <c r="O99" s="374">
        <f t="shared" si="7"/>
        <v>130</v>
      </c>
      <c r="P99" s="122">
        <f t="shared" si="4"/>
        <v>26.78</v>
      </c>
      <c r="Q99" s="122">
        <f t="shared" si="5"/>
        <v>103.22</v>
      </c>
      <c r="R99" s="123">
        <f t="shared" si="6"/>
        <v>3616.2900000000041</v>
      </c>
    </row>
    <row r="100" spans="2:18" x14ac:dyDescent="0.45">
      <c r="N100" s="132">
        <v>91</v>
      </c>
      <c r="O100" s="374">
        <f t="shared" si="7"/>
        <v>130</v>
      </c>
      <c r="P100" s="122">
        <f t="shared" si="4"/>
        <v>26.04</v>
      </c>
      <c r="Q100" s="122">
        <f t="shared" si="5"/>
        <v>103.96000000000001</v>
      </c>
      <c r="R100" s="123">
        <f t="shared" si="6"/>
        <v>3512.330000000004</v>
      </c>
    </row>
    <row r="101" spans="2:18" x14ac:dyDescent="0.45">
      <c r="I101" s="155">
        <f>+I99-H99</f>
        <v>0</v>
      </c>
      <c r="N101" s="132">
        <v>92</v>
      </c>
      <c r="O101" s="374">
        <f t="shared" si="7"/>
        <v>130</v>
      </c>
      <c r="P101" s="122">
        <f t="shared" si="4"/>
        <v>25.29</v>
      </c>
      <c r="Q101" s="122">
        <f t="shared" si="5"/>
        <v>104.71000000000001</v>
      </c>
      <c r="R101" s="123">
        <f t="shared" si="6"/>
        <v>3407.620000000004</v>
      </c>
    </row>
    <row r="102" spans="2:18" x14ac:dyDescent="0.45">
      <c r="N102" s="132">
        <v>93</v>
      </c>
      <c r="O102" s="374">
        <f t="shared" si="7"/>
        <v>130</v>
      </c>
      <c r="P102" s="122">
        <f t="shared" si="4"/>
        <v>24.53</v>
      </c>
      <c r="Q102" s="122">
        <f t="shared" si="5"/>
        <v>105.47</v>
      </c>
      <c r="R102" s="123">
        <f t="shared" si="6"/>
        <v>3302.1500000000042</v>
      </c>
    </row>
    <row r="103" spans="2:18" x14ac:dyDescent="0.45">
      <c r="N103" s="132">
        <v>94</v>
      </c>
      <c r="O103" s="374">
        <f t="shared" si="7"/>
        <v>130</v>
      </c>
      <c r="P103" s="122">
        <f t="shared" si="4"/>
        <v>23.78</v>
      </c>
      <c r="Q103" s="122">
        <f t="shared" si="5"/>
        <v>106.22</v>
      </c>
      <c r="R103" s="123">
        <f t="shared" si="6"/>
        <v>3195.9300000000044</v>
      </c>
    </row>
    <row r="104" spans="2:18" x14ac:dyDescent="0.45">
      <c r="N104" s="132">
        <v>95</v>
      </c>
      <c r="O104" s="374">
        <f t="shared" si="7"/>
        <v>130</v>
      </c>
      <c r="P104" s="122">
        <f t="shared" si="4"/>
        <v>23.01</v>
      </c>
      <c r="Q104" s="122">
        <f t="shared" si="5"/>
        <v>106.99</v>
      </c>
      <c r="R104" s="123">
        <f t="shared" si="6"/>
        <v>3088.9400000000046</v>
      </c>
    </row>
    <row r="105" spans="2:18" x14ac:dyDescent="0.45">
      <c r="N105" s="132">
        <v>96</v>
      </c>
      <c r="O105" s="374">
        <f t="shared" si="7"/>
        <v>130</v>
      </c>
      <c r="P105" s="122">
        <f t="shared" si="4"/>
        <v>22.24</v>
      </c>
      <c r="Q105" s="122">
        <f t="shared" si="5"/>
        <v>107.76</v>
      </c>
      <c r="R105" s="123">
        <f t="shared" si="6"/>
        <v>2981.1800000000044</v>
      </c>
    </row>
    <row r="106" spans="2:18" x14ac:dyDescent="0.45">
      <c r="N106" s="132">
        <v>97</v>
      </c>
      <c r="O106" s="374">
        <f t="shared" si="7"/>
        <v>130</v>
      </c>
      <c r="P106" s="122">
        <f t="shared" si="4"/>
        <v>21.46</v>
      </c>
      <c r="Q106" s="122">
        <f t="shared" si="5"/>
        <v>108.53999999999999</v>
      </c>
      <c r="R106" s="123">
        <f t="shared" si="6"/>
        <v>2872.6400000000044</v>
      </c>
    </row>
    <row r="107" spans="2:18" x14ac:dyDescent="0.45">
      <c r="N107" s="132">
        <v>98</v>
      </c>
      <c r="O107" s="374">
        <f t="shared" si="7"/>
        <v>130</v>
      </c>
      <c r="P107" s="122">
        <f t="shared" si="4"/>
        <v>20.68</v>
      </c>
      <c r="Q107" s="122">
        <f t="shared" si="5"/>
        <v>109.32</v>
      </c>
      <c r="R107" s="123">
        <f t="shared" si="6"/>
        <v>2763.3200000000043</v>
      </c>
    </row>
    <row r="108" spans="2:18" x14ac:dyDescent="0.45">
      <c r="N108" s="132">
        <v>99</v>
      </c>
      <c r="O108" s="374">
        <f t="shared" si="7"/>
        <v>130</v>
      </c>
      <c r="P108" s="122">
        <f t="shared" si="4"/>
        <v>19.899999999999999</v>
      </c>
      <c r="Q108" s="122">
        <f t="shared" si="5"/>
        <v>110.1</v>
      </c>
      <c r="R108" s="123">
        <f t="shared" si="6"/>
        <v>2653.2200000000043</v>
      </c>
    </row>
    <row r="109" spans="2:18" x14ac:dyDescent="0.45">
      <c r="N109" s="132">
        <v>100</v>
      </c>
      <c r="O109" s="374">
        <f t="shared" si="7"/>
        <v>130</v>
      </c>
      <c r="P109" s="122">
        <f t="shared" si="4"/>
        <v>19.100000000000001</v>
      </c>
      <c r="Q109" s="122">
        <f t="shared" si="5"/>
        <v>110.9</v>
      </c>
      <c r="R109" s="123">
        <f t="shared" si="6"/>
        <v>2542.3200000000043</v>
      </c>
    </row>
    <row r="110" spans="2:18" x14ac:dyDescent="0.45">
      <c r="N110" s="132">
        <v>101</v>
      </c>
      <c r="O110" s="374">
        <f t="shared" si="7"/>
        <v>130</v>
      </c>
      <c r="P110" s="122">
        <f t="shared" si="4"/>
        <v>18.3</v>
      </c>
      <c r="Q110" s="122">
        <f t="shared" si="5"/>
        <v>111.7</v>
      </c>
      <c r="R110" s="123">
        <f t="shared" si="6"/>
        <v>2430.6200000000044</v>
      </c>
    </row>
    <row r="111" spans="2:18" x14ac:dyDescent="0.45">
      <c r="N111" s="132">
        <v>102</v>
      </c>
      <c r="O111" s="374">
        <f t="shared" si="7"/>
        <v>130</v>
      </c>
      <c r="P111" s="122">
        <f t="shared" si="4"/>
        <v>17.5</v>
      </c>
      <c r="Q111" s="122">
        <f t="shared" si="5"/>
        <v>112.5</v>
      </c>
      <c r="R111" s="123">
        <f t="shared" si="6"/>
        <v>2318.1200000000044</v>
      </c>
    </row>
    <row r="112" spans="2:18" x14ac:dyDescent="0.45">
      <c r="N112" s="132">
        <v>103</v>
      </c>
      <c r="O112" s="374">
        <f t="shared" si="7"/>
        <v>130</v>
      </c>
      <c r="P112" s="122">
        <f t="shared" si="4"/>
        <v>16.690000000000001</v>
      </c>
      <c r="Q112" s="122">
        <f t="shared" si="5"/>
        <v>113.31</v>
      </c>
      <c r="R112" s="123">
        <f t="shared" si="6"/>
        <v>2204.8100000000045</v>
      </c>
    </row>
    <row r="113" spans="14:18" x14ac:dyDescent="0.45">
      <c r="N113" s="132">
        <v>104</v>
      </c>
      <c r="O113" s="374">
        <f t="shared" si="7"/>
        <v>130</v>
      </c>
      <c r="P113" s="122">
        <f t="shared" si="4"/>
        <v>15.87</v>
      </c>
      <c r="Q113" s="122">
        <f t="shared" si="5"/>
        <v>114.13</v>
      </c>
      <c r="R113" s="123">
        <f t="shared" si="6"/>
        <v>2090.6800000000044</v>
      </c>
    </row>
    <row r="114" spans="14:18" x14ac:dyDescent="0.45">
      <c r="N114" s="132">
        <v>105</v>
      </c>
      <c r="O114" s="374">
        <f t="shared" si="7"/>
        <v>130</v>
      </c>
      <c r="P114" s="122">
        <f t="shared" si="4"/>
        <v>15.05</v>
      </c>
      <c r="Q114" s="122">
        <f t="shared" si="5"/>
        <v>114.95</v>
      </c>
      <c r="R114" s="123">
        <f t="shared" si="6"/>
        <v>1975.7300000000043</v>
      </c>
    </row>
    <row r="115" spans="14:18" x14ac:dyDescent="0.45">
      <c r="N115" s="132">
        <v>106</v>
      </c>
      <c r="O115" s="374">
        <f t="shared" si="7"/>
        <v>130</v>
      </c>
      <c r="P115" s="122">
        <f t="shared" si="4"/>
        <v>14.23</v>
      </c>
      <c r="Q115" s="122">
        <f t="shared" si="5"/>
        <v>115.77</v>
      </c>
      <c r="R115" s="123">
        <f t="shared" si="6"/>
        <v>1859.9600000000044</v>
      </c>
    </row>
    <row r="116" spans="14:18" x14ac:dyDescent="0.45">
      <c r="N116" s="132">
        <v>107</v>
      </c>
      <c r="O116" s="374">
        <f t="shared" si="7"/>
        <v>130</v>
      </c>
      <c r="P116" s="122">
        <f t="shared" si="4"/>
        <v>13.39</v>
      </c>
      <c r="Q116" s="122">
        <f t="shared" si="5"/>
        <v>116.61</v>
      </c>
      <c r="R116" s="123">
        <f t="shared" si="6"/>
        <v>1743.3500000000045</v>
      </c>
    </row>
    <row r="117" spans="14:18" x14ac:dyDescent="0.45">
      <c r="N117" s="132">
        <v>108</v>
      </c>
      <c r="O117" s="374">
        <f t="shared" si="7"/>
        <v>130</v>
      </c>
      <c r="P117" s="122">
        <f t="shared" si="4"/>
        <v>12.55</v>
      </c>
      <c r="Q117" s="122">
        <f t="shared" si="5"/>
        <v>117.45</v>
      </c>
      <c r="R117" s="123">
        <f t="shared" si="6"/>
        <v>1625.9000000000044</v>
      </c>
    </row>
    <row r="118" spans="14:18" x14ac:dyDescent="0.45">
      <c r="N118" s="132">
        <v>109</v>
      </c>
      <c r="O118" s="374">
        <f t="shared" si="7"/>
        <v>130</v>
      </c>
      <c r="P118" s="122">
        <f t="shared" si="4"/>
        <v>11.71</v>
      </c>
      <c r="Q118" s="122">
        <f t="shared" si="5"/>
        <v>118.28999999999999</v>
      </c>
      <c r="R118" s="123">
        <f t="shared" si="6"/>
        <v>1507.6100000000044</v>
      </c>
    </row>
    <row r="119" spans="14:18" x14ac:dyDescent="0.45">
      <c r="N119" s="132">
        <v>110</v>
      </c>
      <c r="O119" s="374">
        <f t="shared" si="7"/>
        <v>130</v>
      </c>
      <c r="P119" s="122">
        <f t="shared" si="4"/>
        <v>10.85</v>
      </c>
      <c r="Q119" s="122">
        <f t="shared" si="5"/>
        <v>119.15</v>
      </c>
      <c r="R119" s="123">
        <f t="shared" si="6"/>
        <v>1388.4600000000044</v>
      </c>
    </row>
    <row r="120" spans="14:18" x14ac:dyDescent="0.45">
      <c r="N120" s="132">
        <v>111</v>
      </c>
      <c r="O120" s="374">
        <f t="shared" si="7"/>
        <v>130</v>
      </c>
      <c r="P120" s="122">
        <f t="shared" si="4"/>
        <v>10</v>
      </c>
      <c r="Q120" s="122">
        <f t="shared" si="5"/>
        <v>120</v>
      </c>
      <c r="R120" s="123">
        <f t="shared" si="6"/>
        <v>1268.4600000000044</v>
      </c>
    </row>
    <row r="121" spans="14:18" x14ac:dyDescent="0.45">
      <c r="N121" s="132">
        <v>112</v>
      </c>
      <c r="O121" s="374">
        <f t="shared" si="7"/>
        <v>130</v>
      </c>
      <c r="P121" s="122">
        <f t="shared" si="4"/>
        <v>9.1300000000000008</v>
      </c>
      <c r="Q121" s="122">
        <f t="shared" si="5"/>
        <v>120.87</v>
      </c>
      <c r="R121" s="123">
        <f t="shared" si="6"/>
        <v>1147.5900000000042</v>
      </c>
    </row>
    <row r="122" spans="14:18" x14ac:dyDescent="0.45">
      <c r="N122" s="132">
        <v>113</v>
      </c>
      <c r="O122" s="374">
        <f t="shared" si="7"/>
        <v>130</v>
      </c>
      <c r="P122" s="122">
        <f t="shared" si="4"/>
        <v>8.26</v>
      </c>
      <c r="Q122" s="122">
        <f t="shared" si="5"/>
        <v>121.74</v>
      </c>
      <c r="R122" s="123">
        <f t="shared" si="6"/>
        <v>1025.8500000000042</v>
      </c>
    </row>
    <row r="123" spans="14:18" x14ac:dyDescent="0.45">
      <c r="N123" s="132">
        <v>114</v>
      </c>
      <c r="O123" s="374">
        <f t="shared" si="7"/>
        <v>130</v>
      </c>
      <c r="P123" s="122">
        <f t="shared" si="4"/>
        <v>7.39</v>
      </c>
      <c r="Q123" s="122">
        <f t="shared" si="5"/>
        <v>122.61</v>
      </c>
      <c r="R123" s="123">
        <f t="shared" si="6"/>
        <v>903.24000000000422</v>
      </c>
    </row>
    <row r="124" spans="14:18" x14ac:dyDescent="0.45">
      <c r="N124" s="132">
        <v>115</v>
      </c>
      <c r="O124" s="374">
        <f t="shared" si="7"/>
        <v>130</v>
      </c>
      <c r="P124" s="122">
        <f t="shared" si="4"/>
        <v>6.5</v>
      </c>
      <c r="Q124" s="122">
        <f t="shared" si="5"/>
        <v>123.5</v>
      </c>
      <c r="R124" s="123">
        <f t="shared" si="6"/>
        <v>779.74000000000422</v>
      </c>
    </row>
    <row r="125" spans="14:18" x14ac:dyDescent="0.45">
      <c r="N125" s="132">
        <v>116</v>
      </c>
      <c r="O125" s="374">
        <f t="shared" si="7"/>
        <v>130</v>
      </c>
      <c r="P125" s="122">
        <f t="shared" si="4"/>
        <v>5.61</v>
      </c>
      <c r="Q125" s="122">
        <f t="shared" si="5"/>
        <v>124.39</v>
      </c>
      <c r="R125" s="123">
        <f t="shared" si="6"/>
        <v>655.35000000000423</v>
      </c>
    </row>
    <row r="126" spans="14:18" x14ac:dyDescent="0.45">
      <c r="N126" s="132">
        <v>117</v>
      </c>
      <c r="O126" s="374">
        <f t="shared" si="7"/>
        <v>130</v>
      </c>
      <c r="P126" s="122">
        <f t="shared" si="4"/>
        <v>4.72</v>
      </c>
      <c r="Q126" s="122">
        <f t="shared" si="5"/>
        <v>125.28</v>
      </c>
      <c r="R126" s="123">
        <f t="shared" si="6"/>
        <v>530.07000000000426</v>
      </c>
    </row>
    <row r="127" spans="14:18" x14ac:dyDescent="0.45">
      <c r="N127" s="132">
        <v>118</v>
      </c>
      <c r="O127" s="374">
        <f t="shared" si="7"/>
        <v>130</v>
      </c>
      <c r="P127" s="122">
        <f t="shared" si="4"/>
        <v>3.82</v>
      </c>
      <c r="Q127" s="122">
        <f t="shared" si="5"/>
        <v>126.18</v>
      </c>
      <c r="R127" s="123">
        <f t="shared" si="6"/>
        <v>403.89000000000425</v>
      </c>
    </row>
    <row r="128" spans="14:18" x14ac:dyDescent="0.45">
      <c r="N128" s="132">
        <v>119</v>
      </c>
      <c r="O128" s="374">
        <f t="shared" si="7"/>
        <v>130</v>
      </c>
      <c r="P128" s="122">
        <f t="shared" si="4"/>
        <v>2.91</v>
      </c>
      <c r="Q128" s="122">
        <f t="shared" si="5"/>
        <v>127.09</v>
      </c>
      <c r="R128" s="123">
        <f t="shared" si="6"/>
        <v>276.80000000000427</v>
      </c>
    </row>
    <row r="129" spans="14:18" x14ac:dyDescent="0.45">
      <c r="N129" s="132">
        <v>120</v>
      </c>
      <c r="O129" s="374">
        <f t="shared" si="7"/>
        <v>130</v>
      </c>
      <c r="P129" s="122">
        <f t="shared" si="4"/>
        <v>1.99</v>
      </c>
      <c r="Q129" s="122">
        <f t="shared" si="5"/>
        <v>128.01</v>
      </c>
      <c r="R129" s="123">
        <f t="shared" si="6"/>
        <v>148.79000000000428</v>
      </c>
    </row>
    <row r="130" spans="14:18" x14ac:dyDescent="0.45">
      <c r="N130" s="132">
        <v>121</v>
      </c>
      <c r="O130" s="374">
        <f>+J17</f>
        <v>150</v>
      </c>
      <c r="P130" s="122">
        <f>ROUND(+R129*$P$7,2)+0.14</f>
        <v>1.21</v>
      </c>
      <c r="Q130" s="122">
        <f t="shared" si="5"/>
        <v>148.79</v>
      </c>
      <c r="R130" s="375">
        <f t="shared" si="6"/>
        <v>4.2916781239910051E-12</v>
      </c>
    </row>
    <row r="131" spans="14:18" x14ac:dyDescent="0.45">
      <c r="O131" s="137"/>
      <c r="P131" s="177"/>
      <c r="Q131" s="177"/>
      <c r="R131" s="178"/>
    </row>
    <row r="132" spans="14:18" x14ac:dyDescent="0.45">
      <c r="O132" s="137"/>
      <c r="P132" s="177"/>
      <c r="Q132" s="177"/>
      <c r="R132" s="178"/>
    </row>
    <row r="133" spans="14:18" x14ac:dyDescent="0.45">
      <c r="O133" s="137"/>
      <c r="P133" s="177"/>
      <c r="Q133" s="177"/>
      <c r="R133" s="178"/>
    </row>
    <row r="134" spans="14:18" x14ac:dyDescent="0.45">
      <c r="O134" s="137"/>
      <c r="P134" s="137"/>
      <c r="Q134" s="177"/>
      <c r="R134" s="178"/>
    </row>
    <row r="135" spans="14:18" x14ac:dyDescent="0.45">
      <c r="O135" s="137"/>
      <c r="P135" s="177"/>
      <c r="Q135" s="177"/>
      <c r="R135" s="178"/>
    </row>
    <row r="136" spans="14:18" x14ac:dyDescent="0.45">
      <c r="O136" s="137"/>
      <c r="P136" s="177"/>
      <c r="Q136" s="177"/>
      <c r="R136" s="178"/>
    </row>
    <row r="137" spans="14:18" x14ac:dyDescent="0.45">
      <c r="O137" s="137"/>
      <c r="P137" s="177"/>
      <c r="Q137" s="177"/>
      <c r="R137" s="178"/>
    </row>
    <row r="138" spans="14:18" x14ac:dyDescent="0.45">
      <c r="O138" s="137"/>
      <c r="P138" s="177"/>
      <c r="Q138" s="177"/>
      <c r="R138" s="178"/>
    </row>
    <row r="139" spans="14:18" x14ac:dyDescent="0.45">
      <c r="O139" s="137"/>
      <c r="P139" s="177"/>
      <c r="Q139" s="177"/>
      <c r="R139" s="178"/>
    </row>
    <row r="140" spans="14:18" x14ac:dyDescent="0.45">
      <c r="O140" s="137"/>
      <c r="P140" s="137"/>
      <c r="Q140" s="137"/>
      <c r="R140" s="137"/>
    </row>
  </sheetData>
  <mergeCells count="13">
    <mergeCell ref="B87:I87"/>
    <mergeCell ref="H11:I11"/>
    <mergeCell ref="J14:L14"/>
    <mergeCell ref="J15:L15"/>
    <mergeCell ref="C46:G46"/>
    <mergeCell ref="C59:G59"/>
    <mergeCell ref="C71:G71"/>
    <mergeCell ref="J16:L16"/>
    <mergeCell ref="J17:L17"/>
    <mergeCell ref="J18:L18"/>
    <mergeCell ref="C24:G24"/>
    <mergeCell ref="K24:L24"/>
    <mergeCell ref="C36:G3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681FF-4533-4E9F-B0DC-0AFAE35A2482}">
  <dimension ref="B1:G27"/>
  <sheetViews>
    <sheetView showGridLines="0" topLeftCell="A5" zoomScale="160" zoomScaleNormal="160" workbookViewId="0">
      <selection activeCell="G27" sqref="G27"/>
    </sheetView>
  </sheetViews>
  <sheetFormatPr baseColWidth="10" defaultColWidth="11.53125" defaultRowHeight="13.5" x14ac:dyDescent="0.35"/>
  <cols>
    <col min="1" max="1" width="4.796875" style="20" customWidth="1"/>
    <col min="2" max="2" width="11.53125" style="20"/>
    <col min="3" max="3" width="23.19921875" style="20" customWidth="1"/>
    <col min="4" max="4" width="12.33203125" style="20" customWidth="1"/>
    <col min="5" max="5" width="23.19921875" style="20" customWidth="1"/>
    <col min="6" max="7" width="20.53125" style="20" customWidth="1"/>
    <col min="8" max="16384" width="11.53125" style="20"/>
  </cols>
  <sheetData>
    <row r="1" spans="2:7" ht="13.9" thickBot="1" x14ac:dyDescent="0.4"/>
    <row r="2" spans="2:7" ht="14.45" customHeight="1" x14ac:dyDescent="0.35">
      <c r="B2" s="563" t="s">
        <v>339</v>
      </c>
      <c r="C2" s="564"/>
      <c r="D2" s="564"/>
      <c r="E2" s="564"/>
      <c r="F2" s="564"/>
      <c r="G2" s="565"/>
    </row>
    <row r="3" spans="2:7" ht="14.45" customHeight="1" x14ac:dyDescent="0.35">
      <c r="B3" s="566"/>
      <c r="C3" s="567"/>
      <c r="D3" s="567"/>
      <c r="E3" s="567"/>
      <c r="F3" s="567"/>
      <c r="G3" s="568"/>
    </row>
    <row r="4" spans="2:7" ht="14.45" customHeight="1" x14ac:dyDescent="0.35">
      <c r="B4" s="566"/>
      <c r="C4" s="567"/>
      <c r="D4" s="567"/>
      <c r="E4" s="567"/>
      <c r="F4" s="567"/>
      <c r="G4" s="568"/>
    </row>
    <row r="5" spans="2:7" x14ac:dyDescent="0.35">
      <c r="B5" s="566"/>
      <c r="C5" s="567"/>
      <c r="D5" s="567"/>
      <c r="E5" s="567"/>
      <c r="F5" s="567"/>
      <c r="G5" s="568"/>
    </row>
    <row r="6" spans="2:7" x14ac:dyDescent="0.35">
      <c r="B6" s="566"/>
      <c r="C6" s="567"/>
      <c r="D6" s="567"/>
      <c r="E6" s="567"/>
      <c r="F6" s="567"/>
      <c r="G6" s="568"/>
    </row>
    <row r="7" spans="2:7" x14ac:dyDescent="0.35">
      <c r="B7" s="566"/>
      <c r="C7" s="567"/>
      <c r="D7" s="567"/>
      <c r="E7" s="567"/>
      <c r="F7" s="567"/>
      <c r="G7" s="568"/>
    </row>
    <row r="8" spans="2:7" ht="13.9" thickBot="1" x14ac:dyDescent="0.4">
      <c r="B8" s="569"/>
      <c r="C8" s="570"/>
      <c r="D8" s="570"/>
      <c r="E8" s="570"/>
      <c r="F8" s="570"/>
      <c r="G8" s="571"/>
    </row>
    <row r="9" spans="2:7" ht="13.9" thickBot="1" x14ac:dyDescent="0.4"/>
    <row r="10" spans="2:7" ht="13.9" thickBot="1" x14ac:dyDescent="0.4">
      <c r="D10" s="28" t="s">
        <v>64</v>
      </c>
      <c r="E10" s="29" t="s">
        <v>65</v>
      </c>
      <c r="F10" s="29" t="s">
        <v>66</v>
      </c>
      <c r="G10" s="30" t="s">
        <v>67</v>
      </c>
    </row>
    <row r="11" spans="2:7" ht="13.9" thickBot="1" x14ac:dyDescent="0.4">
      <c r="D11" s="287" t="s">
        <v>68</v>
      </c>
      <c r="E11" s="27">
        <v>910</v>
      </c>
      <c r="F11" s="27">
        <v>880</v>
      </c>
      <c r="G11" s="26">
        <v>910</v>
      </c>
    </row>
    <row r="12" spans="2:7" ht="13.9" thickBot="1" x14ac:dyDescent="0.4"/>
    <row r="13" spans="2:7" ht="13.9" thickBot="1" x14ac:dyDescent="0.4">
      <c r="C13" s="29" t="s">
        <v>70</v>
      </c>
      <c r="D13" s="34" t="s">
        <v>71</v>
      </c>
      <c r="E13" s="29" t="s">
        <v>65</v>
      </c>
      <c r="F13" s="29" t="s">
        <v>69</v>
      </c>
      <c r="G13" s="30" t="s">
        <v>61</v>
      </c>
    </row>
    <row r="14" spans="2:7" ht="13.9" thickBot="1" x14ac:dyDescent="0.4">
      <c r="C14" s="33">
        <v>1000000</v>
      </c>
      <c r="D14" s="31">
        <v>840</v>
      </c>
      <c r="E14" s="33">
        <v>910</v>
      </c>
      <c r="F14" s="33">
        <f>+E14-D14</f>
        <v>70</v>
      </c>
      <c r="G14" s="32">
        <f>+C14*F14</f>
        <v>70000000</v>
      </c>
    </row>
    <row r="16" spans="2:7" ht="13.9" thickBot="1" x14ac:dyDescent="0.4"/>
    <row r="17" spans="2:7" ht="15.4" thickBot="1" x14ac:dyDescent="0.45">
      <c r="B17" s="7" t="s">
        <v>2</v>
      </c>
      <c r="C17" s="572" t="s">
        <v>1</v>
      </c>
      <c r="D17" s="572"/>
      <c r="E17" s="572"/>
      <c r="F17" s="35" t="s">
        <v>3</v>
      </c>
      <c r="G17" s="36" t="s">
        <v>4</v>
      </c>
    </row>
    <row r="18" spans="2:7" x14ac:dyDescent="0.35">
      <c r="B18" s="37" t="s">
        <v>68</v>
      </c>
      <c r="C18" s="21" t="s">
        <v>5</v>
      </c>
      <c r="D18" s="22">
        <v>1</v>
      </c>
      <c r="E18" s="23" t="s">
        <v>5</v>
      </c>
      <c r="F18" s="40"/>
      <c r="G18" s="40"/>
    </row>
    <row r="19" spans="2:7" x14ac:dyDescent="0.35">
      <c r="B19" s="37" t="s">
        <v>264</v>
      </c>
      <c r="C19" s="38" t="str">
        <f>+BCE!B11</f>
        <v>Forward</v>
      </c>
      <c r="E19" s="39"/>
      <c r="F19" s="41">
        <f>+G14</f>
        <v>70000000</v>
      </c>
      <c r="G19" s="37"/>
    </row>
    <row r="20" spans="2:7" x14ac:dyDescent="0.35">
      <c r="B20" s="37" t="s">
        <v>340</v>
      </c>
      <c r="C20" s="38"/>
      <c r="D20" s="20" t="s">
        <v>341</v>
      </c>
      <c r="E20" s="39"/>
      <c r="F20" s="37"/>
      <c r="G20" s="41">
        <f>+F19</f>
        <v>70000000</v>
      </c>
    </row>
    <row r="21" spans="2:7" ht="13.9" thickBot="1" x14ac:dyDescent="0.4">
      <c r="B21" s="27"/>
      <c r="C21" s="24" t="s">
        <v>72</v>
      </c>
      <c r="D21" s="25"/>
      <c r="E21" s="26"/>
      <c r="F21" s="27"/>
      <c r="G21" s="27"/>
    </row>
    <row r="22" spans="2:7" ht="13.9" thickBot="1" x14ac:dyDescent="0.4"/>
    <row r="23" spans="2:7" ht="15.4" thickBot="1" x14ac:dyDescent="0.45">
      <c r="B23" s="7" t="s">
        <v>2</v>
      </c>
      <c r="C23" s="572" t="s">
        <v>1</v>
      </c>
      <c r="D23" s="572"/>
      <c r="E23" s="572"/>
      <c r="F23" s="35" t="s">
        <v>3</v>
      </c>
      <c r="G23" s="36" t="s">
        <v>4</v>
      </c>
    </row>
    <row r="24" spans="2:7" x14ac:dyDescent="0.35">
      <c r="B24" s="37" t="s">
        <v>68</v>
      </c>
      <c r="C24" s="21" t="s">
        <v>5</v>
      </c>
      <c r="D24" s="22">
        <v>1</v>
      </c>
      <c r="E24" s="23" t="s">
        <v>5</v>
      </c>
      <c r="F24" s="40"/>
      <c r="G24" s="40"/>
    </row>
    <row r="25" spans="2:7" x14ac:dyDescent="0.35">
      <c r="B25" s="37" t="s">
        <v>264</v>
      </c>
      <c r="C25" s="38" t="str">
        <f>+C19</f>
        <v>Forward</v>
      </c>
      <c r="E25" s="39"/>
      <c r="F25" s="41">
        <f>+G14</f>
        <v>70000000</v>
      </c>
      <c r="G25" s="37"/>
    </row>
    <row r="26" spans="2:7" x14ac:dyDescent="0.35">
      <c r="B26" s="37" t="s">
        <v>340</v>
      </c>
      <c r="C26" s="38"/>
      <c r="D26" s="20" t="s">
        <v>342</v>
      </c>
      <c r="E26" s="39"/>
      <c r="F26" s="37"/>
      <c r="G26" s="41">
        <f>+F25</f>
        <v>70000000</v>
      </c>
    </row>
    <row r="27" spans="2:7" ht="13.9" thickBot="1" x14ac:dyDescent="0.4">
      <c r="B27" s="27"/>
      <c r="C27" s="24" t="s">
        <v>73</v>
      </c>
      <c r="D27" s="25"/>
      <c r="E27" s="26"/>
      <c r="F27" s="27"/>
      <c r="G27" s="27"/>
    </row>
  </sheetData>
  <mergeCells count="3">
    <mergeCell ref="B2:G8"/>
    <mergeCell ref="C17:E17"/>
    <mergeCell ref="C23:E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8C7B2-BC32-4D99-B93B-7FE066A4CAA3}">
  <dimension ref="B1:P62"/>
  <sheetViews>
    <sheetView topLeftCell="A15" zoomScale="140" zoomScaleNormal="140" workbookViewId="0">
      <selection activeCell="L28" sqref="L28"/>
    </sheetView>
  </sheetViews>
  <sheetFormatPr baseColWidth="10" defaultColWidth="11.53125" defaultRowHeight="13.5" x14ac:dyDescent="0.35"/>
  <cols>
    <col min="1" max="1" width="2.53125" style="15" customWidth="1"/>
    <col min="2" max="2" width="6.19921875" style="15" customWidth="1"/>
    <col min="3" max="3" width="16" style="15" customWidth="1"/>
    <col min="4" max="4" width="8.33203125" style="15" customWidth="1"/>
    <col min="5" max="5" width="14.796875" style="15" bestFit="1" customWidth="1"/>
    <col min="6" max="6" width="7.86328125" style="15" customWidth="1"/>
    <col min="7" max="7" width="14.19921875" style="15" bestFit="1" customWidth="1"/>
    <col min="8" max="8" width="7.796875" style="15" customWidth="1"/>
    <col min="9" max="9" width="14" style="15" bestFit="1" customWidth="1"/>
    <col min="10" max="10" width="3.19921875" style="15" customWidth="1"/>
    <col min="11" max="11" width="11.53125" style="15"/>
    <col min="12" max="12" width="12.53125" style="15" bestFit="1" customWidth="1"/>
    <col min="13" max="13" width="13.6640625" style="15" customWidth="1"/>
    <col min="14" max="14" width="10.6640625" style="15" customWidth="1"/>
    <col min="15" max="16384" width="11.53125" style="15"/>
  </cols>
  <sheetData>
    <row r="1" spans="2:16" ht="13.9" thickBot="1" x14ac:dyDescent="0.4"/>
    <row r="2" spans="2:16" ht="14.45" customHeight="1" x14ac:dyDescent="0.35">
      <c r="B2" s="573" t="s">
        <v>223</v>
      </c>
      <c r="C2" s="574"/>
      <c r="D2" s="574"/>
      <c r="E2" s="574"/>
      <c r="F2" s="574"/>
      <c r="G2" s="574"/>
      <c r="H2" s="574"/>
      <c r="I2" s="575"/>
      <c r="J2" s="321"/>
    </row>
    <row r="3" spans="2:16" ht="14.45" customHeight="1" x14ac:dyDescent="0.35">
      <c r="B3" s="576"/>
      <c r="C3" s="577"/>
      <c r="D3" s="577"/>
      <c r="E3" s="577"/>
      <c r="F3" s="577"/>
      <c r="G3" s="577"/>
      <c r="H3" s="577"/>
      <c r="I3" s="578"/>
      <c r="J3" s="321"/>
    </row>
    <row r="4" spans="2:16" ht="13.9" thickBot="1" x14ac:dyDescent="0.4">
      <c r="B4" s="579"/>
      <c r="C4" s="580"/>
      <c r="D4" s="580"/>
      <c r="E4" s="580"/>
      <c r="F4" s="580"/>
      <c r="G4" s="580"/>
      <c r="H4" s="580"/>
      <c r="I4" s="581"/>
      <c r="J4" s="321"/>
    </row>
    <row r="5" spans="2:16" ht="13.9" thickBot="1" x14ac:dyDescent="0.4">
      <c r="L5" s="528" t="s">
        <v>8</v>
      </c>
      <c r="M5" s="529"/>
      <c r="N5" s="291"/>
      <c r="O5" s="582" t="s">
        <v>7</v>
      </c>
      <c r="P5" s="583"/>
    </row>
    <row r="6" spans="2:16" ht="13.9" thickBot="1" x14ac:dyDescent="0.4">
      <c r="B6" s="67" t="s">
        <v>57</v>
      </c>
      <c r="C6" s="68" t="s">
        <v>94</v>
      </c>
      <c r="E6" s="67" t="s">
        <v>68</v>
      </c>
      <c r="G6" s="61" t="s">
        <v>8</v>
      </c>
      <c r="K6" s="15" t="s">
        <v>345</v>
      </c>
      <c r="L6" s="292" t="s">
        <v>272</v>
      </c>
      <c r="M6" s="293">
        <v>0.05</v>
      </c>
      <c r="N6" s="291"/>
      <c r="O6" s="292" t="s">
        <v>273</v>
      </c>
      <c r="P6" s="293">
        <v>0.02</v>
      </c>
    </row>
    <row r="7" spans="2:16" ht="13.9" thickBot="1" x14ac:dyDescent="0.4">
      <c r="B7" s="69">
        <v>2</v>
      </c>
      <c r="C7" s="70" t="s">
        <v>95</v>
      </c>
      <c r="E7" s="71">
        <v>10000000</v>
      </c>
      <c r="G7" s="64">
        <f>+E7</f>
        <v>10000000</v>
      </c>
      <c r="K7" s="15" t="s">
        <v>343</v>
      </c>
      <c r="L7" s="294" t="s">
        <v>274</v>
      </c>
      <c r="M7" s="295">
        <v>0.25</v>
      </c>
      <c r="N7" s="291"/>
      <c r="O7" s="294" t="s">
        <v>272</v>
      </c>
      <c r="P7" s="295">
        <v>0.05</v>
      </c>
    </row>
    <row r="8" spans="2:16" ht="13.9" thickBot="1" x14ac:dyDescent="0.4">
      <c r="B8" s="69">
        <v>6</v>
      </c>
      <c r="C8" s="70" t="s">
        <v>96</v>
      </c>
      <c r="E8" s="71">
        <v>9000000</v>
      </c>
      <c r="G8" s="65">
        <f>+E8</f>
        <v>9000000</v>
      </c>
      <c r="K8" s="15" t="s">
        <v>344</v>
      </c>
      <c r="L8" s="294" t="s">
        <v>275</v>
      </c>
      <c r="M8" s="295">
        <v>0.5</v>
      </c>
      <c r="N8" s="291"/>
      <c r="O8" s="294" t="s">
        <v>274</v>
      </c>
      <c r="P8" s="295">
        <v>0.2</v>
      </c>
    </row>
    <row r="9" spans="2:16" ht="13.9" thickBot="1" x14ac:dyDescent="0.4">
      <c r="B9" s="69">
        <v>13</v>
      </c>
      <c r="C9" s="70" t="s">
        <v>99</v>
      </c>
      <c r="E9" s="71">
        <v>12000000</v>
      </c>
      <c r="G9" s="65">
        <f>+E9*0.05</f>
        <v>600000</v>
      </c>
      <c r="L9" s="296" t="s">
        <v>276</v>
      </c>
      <c r="M9" s="297">
        <v>1</v>
      </c>
      <c r="N9" s="291"/>
      <c r="O9" s="294" t="s">
        <v>275</v>
      </c>
      <c r="P9" s="295">
        <v>0.5</v>
      </c>
    </row>
    <row r="10" spans="2:16" ht="13.9" thickBot="1" x14ac:dyDescent="0.4">
      <c r="B10" s="69">
        <v>21</v>
      </c>
      <c r="C10" s="70" t="s">
        <v>102</v>
      </c>
      <c r="E10" s="71">
        <v>15000000</v>
      </c>
      <c r="G10" s="65">
        <f>+E10*0.25</f>
        <v>3750000</v>
      </c>
      <c r="O10" s="296" t="s">
        <v>276</v>
      </c>
      <c r="P10" s="297">
        <v>1</v>
      </c>
    </row>
    <row r="11" spans="2:16" ht="13.9" thickBot="1" x14ac:dyDescent="0.4">
      <c r="B11" s="69">
        <v>25</v>
      </c>
      <c r="C11" s="70" t="s">
        <v>101</v>
      </c>
      <c r="E11" s="71">
        <v>10000000</v>
      </c>
      <c r="G11" s="65">
        <f>+E11*0.5</f>
        <v>5000000</v>
      </c>
    </row>
    <row r="12" spans="2:16" ht="13.9" thickBot="1" x14ac:dyDescent="0.4">
      <c r="B12" s="69">
        <v>28</v>
      </c>
      <c r="C12" s="70" t="s">
        <v>100</v>
      </c>
      <c r="E12" s="71">
        <v>8000000</v>
      </c>
      <c r="G12" s="65">
        <f>+E12*0.5</f>
        <v>4000000</v>
      </c>
    </row>
    <row r="13" spans="2:16" ht="13.9" thickBot="1" x14ac:dyDescent="0.4">
      <c r="B13" s="69">
        <v>31</v>
      </c>
      <c r="C13" s="70" t="s">
        <v>97</v>
      </c>
      <c r="E13" s="71">
        <v>55000000</v>
      </c>
      <c r="G13" s="65">
        <v>0</v>
      </c>
    </row>
    <row r="14" spans="2:16" ht="13.9" thickBot="1" x14ac:dyDescent="0.4">
      <c r="B14" s="69">
        <v>35</v>
      </c>
      <c r="C14" s="70" t="s">
        <v>98</v>
      </c>
      <c r="E14" s="71">
        <v>35000000</v>
      </c>
      <c r="G14" s="66">
        <v>0</v>
      </c>
    </row>
    <row r="15" spans="2:16" ht="13.9" thickBot="1" x14ac:dyDescent="0.4">
      <c r="B15" s="72"/>
      <c r="C15" s="73"/>
      <c r="E15" s="74">
        <f>SUM(E7:E14)</f>
        <v>154000000</v>
      </c>
      <c r="G15" s="75">
        <f>SUM(G7:G14)</f>
        <v>32350000</v>
      </c>
    </row>
    <row r="16" spans="2:16" ht="13.9" thickBot="1" x14ac:dyDescent="0.4"/>
    <row r="17" spans="2:13" ht="13.9" thickBot="1" x14ac:dyDescent="0.4">
      <c r="B17" s="67" t="s">
        <v>57</v>
      </c>
      <c r="C17" s="68" t="s">
        <v>91</v>
      </c>
      <c r="D17" s="67" t="s">
        <v>57</v>
      </c>
      <c r="E17" s="68" t="s">
        <v>92</v>
      </c>
      <c r="F17" s="67" t="s">
        <v>57</v>
      </c>
      <c r="G17" s="68" t="s">
        <v>93</v>
      </c>
      <c r="H17" s="67" t="s">
        <v>57</v>
      </c>
      <c r="I17" s="68" t="s">
        <v>68</v>
      </c>
      <c r="J17" s="321"/>
    </row>
    <row r="18" spans="2:13" ht="13.9" thickBot="1" x14ac:dyDescent="0.4">
      <c r="B18" s="69">
        <v>1</v>
      </c>
      <c r="C18" s="70">
        <v>7000000</v>
      </c>
      <c r="D18" s="69">
        <v>1</v>
      </c>
      <c r="E18" s="70">
        <v>9000000</v>
      </c>
      <c r="F18" s="69">
        <v>1</v>
      </c>
      <c r="G18" s="70">
        <v>8000000</v>
      </c>
      <c r="H18" s="69">
        <v>2</v>
      </c>
      <c r="I18" s="70">
        <v>10000000</v>
      </c>
      <c r="J18" s="278"/>
    </row>
    <row r="19" spans="2:13" ht="13.9" thickBot="1" x14ac:dyDescent="0.4">
      <c r="B19" s="69">
        <v>2</v>
      </c>
      <c r="C19" s="70">
        <v>9000000</v>
      </c>
      <c r="D19" s="69">
        <v>2</v>
      </c>
      <c r="E19" s="70">
        <v>6000000</v>
      </c>
      <c r="F19" s="69">
        <v>2</v>
      </c>
      <c r="G19" s="70">
        <v>7000000</v>
      </c>
      <c r="H19" s="69">
        <v>6</v>
      </c>
      <c r="I19" s="70">
        <v>9000000</v>
      </c>
      <c r="J19" s="278"/>
    </row>
    <row r="20" spans="2:13" ht="13.9" thickBot="1" x14ac:dyDescent="0.4">
      <c r="B20" s="69">
        <v>3</v>
      </c>
      <c r="C20" s="70">
        <v>900000</v>
      </c>
      <c r="D20" s="69">
        <v>3</v>
      </c>
      <c r="E20" s="70">
        <v>700000</v>
      </c>
      <c r="F20" s="69">
        <v>6</v>
      </c>
      <c r="G20" s="70">
        <v>5000000</v>
      </c>
      <c r="H20" s="69">
        <v>13</v>
      </c>
      <c r="I20" s="70">
        <v>600000</v>
      </c>
      <c r="J20" s="278"/>
    </row>
    <row r="21" spans="2:13" ht="13.9" thickBot="1" x14ac:dyDescent="0.4">
      <c r="B21" s="69">
        <v>4</v>
      </c>
      <c r="C21" s="70">
        <v>4000000</v>
      </c>
      <c r="D21" s="69">
        <v>5</v>
      </c>
      <c r="E21" s="70">
        <v>6000000</v>
      </c>
      <c r="F21" s="69">
        <v>10</v>
      </c>
      <c r="G21" s="70">
        <v>3000000</v>
      </c>
      <c r="H21" s="69">
        <v>21</v>
      </c>
      <c r="I21" s="70">
        <v>3000000</v>
      </c>
      <c r="J21" s="278"/>
    </row>
    <row r="22" spans="2:13" ht="13.9" thickBot="1" x14ac:dyDescent="0.4">
      <c r="B22" s="69">
        <v>5</v>
      </c>
      <c r="C22" s="70">
        <v>12000000</v>
      </c>
      <c r="D22" s="69">
        <v>6</v>
      </c>
      <c r="E22" s="70">
        <v>4000000</v>
      </c>
      <c r="F22" s="69">
        <v>13</v>
      </c>
      <c r="G22" s="70">
        <v>3500000</v>
      </c>
      <c r="H22" s="69">
        <v>25</v>
      </c>
      <c r="I22" s="70">
        <v>5000000</v>
      </c>
      <c r="J22" s="278"/>
      <c r="L22" s="406">
        <v>1</v>
      </c>
      <c r="M22" s="407">
        <f>+I38</f>
        <v>41.91</v>
      </c>
    </row>
    <row r="23" spans="2:13" ht="13.9" thickBot="1" x14ac:dyDescent="0.4">
      <c r="B23" s="69">
        <v>6</v>
      </c>
      <c r="C23" s="70">
        <v>7000000</v>
      </c>
      <c r="D23" s="69">
        <v>10</v>
      </c>
      <c r="E23" s="70">
        <v>12000000</v>
      </c>
      <c r="F23" s="69">
        <v>21</v>
      </c>
      <c r="G23" s="70">
        <v>4000000</v>
      </c>
      <c r="H23" s="69">
        <v>28</v>
      </c>
      <c r="I23" s="70">
        <v>4000000</v>
      </c>
      <c r="J23" s="278"/>
      <c r="L23" s="311">
        <v>2</v>
      </c>
      <c r="M23" s="90">
        <f>+I50</f>
        <v>44.36</v>
      </c>
    </row>
    <row r="24" spans="2:13" ht="13.9" thickBot="1" x14ac:dyDescent="0.4">
      <c r="B24" s="69">
        <v>7</v>
      </c>
      <c r="C24" s="70">
        <v>500000</v>
      </c>
      <c r="D24" s="69">
        <v>11</v>
      </c>
      <c r="E24" s="70">
        <v>1000000</v>
      </c>
      <c r="F24" s="69">
        <v>22</v>
      </c>
      <c r="G24" s="70">
        <v>1600000</v>
      </c>
      <c r="H24" s="69">
        <v>31</v>
      </c>
      <c r="I24" s="70">
        <v>1100000</v>
      </c>
      <c r="J24" s="278"/>
      <c r="L24" s="313">
        <v>3</v>
      </c>
      <c r="M24" s="91">
        <f>+I62</f>
        <v>47.83</v>
      </c>
    </row>
    <row r="25" spans="2:13" ht="13.9" thickBot="1" x14ac:dyDescent="0.4">
      <c r="B25" s="69">
        <v>8</v>
      </c>
      <c r="C25" s="70">
        <v>400000</v>
      </c>
      <c r="D25" s="69">
        <v>13</v>
      </c>
      <c r="E25" s="70">
        <v>1200000</v>
      </c>
      <c r="F25" s="69">
        <v>25</v>
      </c>
      <c r="G25" s="70">
        <v>2400000</v>
      </c>
      <c r="H25" s="69">
        <v>35</v>
      </c>
      <c r="I25" s="70">
        <v>700000</v>
      </c>
      <c r="J25" s="278"/>
      <c r="M25" s="15">
        <f>SUM(M22:M24)</f>
        <v>134.1</v>
      </c>
    </row>
    <row r="26" spans="2:13" ht="13.9" thickBot="1" x14ac:dyDescent="0.4">
      <c r="B26" s="69"/>
      <c r="C26" s="73">
        <f>SUM(C18:C25)</f>
        <v>40800000</v>
      </c>
      <c r="D26" s="72"/>
      <c r="E26" s="73">
        <f>SUM(E18:E25)</f>
        <v>39900000</v>
      </c>
      <c r="F26" s="72"/>
      <c r="G26" s="73">
        <f>SUM(G18:G25)</f>
        <v>34500000</v>
      </c>
      <c r="H26" s="72"/>
      <c r="I26" s="73">
        <f>SUM(I18:I25)</f>
        <v>33400000</v>
      </c>
      <c r="J26" s="401"/>
      <c r="K26" s="408" t="s">
        <v>287</v>
      </c>
    </row>
    <row r="27" spans="2:13" x14ac:dyDescent="0.35">
      <c r="I27" s="76">
        <f>ROUND(+I26*K27%,0)</f>
        <v>14929800</v>
      </c>
      <c r="J27" s="76"/>
      <c r="K27" s="408">
        <f>ROUND(+M25/3,2)</f>
        <v>44.7</v>
      </c>
    </row>
    <row r="28" spans="2:13" ht="13.9" thickBot="1" x14ac:dyDescent="0.4">
      <c r="I28" s="76"/>
      <c r="J28" s="76"/>
    </row>
    <row r="29" spans="2:13" ht="13.9" thickBot="1" x14ac:dyDescent="0.4">
      <c r="B29" s="67" t="s">
        <v>57</v>
      </c>
      <c r="C29" s="68" t="s">
        <v>91</v>
      </c>
      <c r="D29" s="67" t="s">
        <v>57</v>
      </c>
      <c r="E29" s="68" t="s">
        <v>92</v>
      </c>
      <c r="G29" s="29" t="s">
        <v>346</v>
      </c>
      <c r="I29" s="413">
        <f>+I26-I27</f>
        <v>18470200</v>
      </c>
      <c r="J29" s="414"/>
      <c r="K29" s="414" t="str">
        <f>+BCE!B16</f>
        <v>Deterioro Cuentas por Cobrar</v>
      </c>
      <c r="L29" s="414"/>
      <c r="M29" s="415"/>
    </row>
    <row r="30" spans="2:13" ht="13.9" thickBot="1" x14ac:dyDescent="0.4">
      <c r="B30" s="69">
        <v>1</v>
      </c>
      <c r="C30" s="70">
        <v>7000000</v>
      </c>
      <c r="D30" s="69">
        <v>1</v>
      </c>
      <c r="E30" s="70">
        <v>9000000</v>
      </c>
      <c r="G30" s="402"/>
      <c r="I30" s="311"/>
      <c r="M30" s="312"/>
    </row>
    <row r="31" spans="2:13" ht="13.9" thickBot="1" x14ac:dyDescent="0.4">
      <c r="B31" s="69">
        <v>2</v>
      </c>
      <c r="C31" s="70">
        <v>9000000</v>
      </c>
      <c r="D31" s="69">
        <v>2</v>
      </c>
      <c r="E31" s="70">
        <v>6000000</v>
      </c>
      <c r="G31" s="351">
        <f t="shared" ref="G31:G37" si="0">+C31-E31</f>
        <v>3000000</v>
      </c>
      <c r="I31" s="416">
        <f>+BCE!C16</f>
        <v>-9210000</v>
      </c>
      <c r="M31" s="312"/>
    </row>
    <row r="32" spans="2:13" ht="13.9" thickBot="1" x14ac:dyDescent="0.4">
      <c r="B32" s="69">
        <v>3</v>
      </c>
      <c r="C32" s="70">
        <v>900000</v>
      </c>
      <c r="D32" s="69">
        <v>3</v>
      </c>
      <c r="E32" s="70">
        <v>700000</v>
      </c>
      <c r="G32" s="351">
        <f t="shared" si="0"/>
        <v>200000</v>
      </c>
      <c r="I32" s="311"/>
      <c r="M32" s="312"/>
    </row>
    <row r="33" spans="2:13" ht="13.9" thickBot="1" x14ac:dyDescent="0.4">
      <c r="B33" s="69">
        <v>4</v>
      </c>
      <c r="C33" s="70">
        <v>4000000</v>
      </c>
      <c r="G33" s="351">
        <f t="shared" si="0"/>
        <v>4000000</v>
      </c>
      <c r="I33" s="363">
        <f>+I31+I29</f>
        <v>9260200</v>
      </c>
      <c r="J33" s="417"/>
      <c r="K33" s="411" t="s">
        <v>349</v>
      </c>
      <c r="L33" s="411"/>
      <c r="M33" s="412"/>
    </row>
    <row r="34" spans="2:13" ht="13.9" thickBot="1" x14ac:dyDescent="0.4">
      <c r="B34" s="69">
        <v>5</v>
      </c>
      <c r="C34" s="70">
        <v>12000000</v>
      </c>
      <c r="D34" s="69">
        <v>5</v>
      </c>
      <c r="E34" s="70">
        <v>6000000</v>
      </c>
      <c r="G34" s="351">
        <f t="shared" si="0"/>
        <v>6000000</v>
      </c>
    </row>
    <row r="35" spans="2:13" ht="13.9" thickBot="1" x14ac:dyDescent="0.4">
      <c r="B35" s="69">
        <v>6</v>
      </c>
      <c r="C35" s="70">
        <v>7000000</v>
      </c>
      <c r="D35" s="69">
        <v>6</v>
      </c>
      <c r="E35" s="70">
        <v>4000000</v>
      </c>
      <c r="G35" s="351">
        <f t="shared" si="0"/>
        <v>3000000</v>
      </c>
    </row>
    <row r="36" spans="2:13" ht="13.9" thickBot="1" x14ac:dyDescent="0.4">
      <c r="B36" s="69">
        <v>7</v>
      </c>
      <c r="C36" s="70">
        <v>500000</v>
      </c>
      <c r="D36" s="69"/>
      <c r="E36" s="70"/>
      <c r="G36" s="351">
        <f t="shared" si="0"/>
        <v>500000</v>
      </c>
    </row>
    <row r="37" spans="2:13" ht="13.9" thickBot="1" x14ac:dyDescent="0.4">
      <c r="B37" s="69">
        <v>8</v>
      </c>
      <c r="C37" s="70">
        <v>400000</v>
      </c>
      <c r="D37" s="69"/>
      <c r="E37" s="70"/>
      <c r="G37" s="403">
        <f t="shared" si="0"/>
        <v>400000</v>
      </c>
      <c r="I37" s="317" t="s">
        <v>287</v>
      </c>
      <c r="J37" s="409"/>
    </row>
    <row r="38" spans="2:13" ht="13.9" thickBot="1" x14ac:dyDescent="0.4">
      <c r="B38" s="69"/>
      <c r="C38" s="73">
        <f>SUM(C30:C37)</f>
        <v>40800000</v>
      </c>
      <c r="D38" s="69"/>
      <c r="E38" s="70"/>
      <c r="G38" s="404">
        <f>SUM(G30:G37)</f>
        <v>17100000</v>
      </c>
      <c r="I38" s="405">
        <f>ROUND(+(G38/C38)*100,2)</f>
        <v>41.91</v>
      </c>
      <c r="J38" s="410"/>
    </row>
    <row r="40" spans="2:13" ht="13.9" thickBot="1" x14ac:dyDescent="0.4"/>
    <row r="41" spans="2:13" ht="13.9" thickBot="1" x14ac:dyDescent="0.4">
      <c r="B41" s="67" t="s">
        <v>57</v>
      </c>
      <c r="C41" s="68" t="s">
        <v>92</v>
      </c>
      <c r="D41" s="67" t="s">
        <v>57</v>
      </c>
      <c r="E41" s="68" t="s">
        <v>93</v>
      </c>
      <c r="G41" s="29" t="s">
        <v>347</v>
      </c>
    </row>
    <row r="42" spans="2:13" ht="13.9" thickBot="1" x14ac:dyDescent="0.4">
      <c r="B42" s="69">
        <v>1</v>
      </c>
      <c r="C42" s="70">
        <v>9000000</v>
      </c>
      <c r="D42" s="69">
        <v>1</v>
      </c>
      <c r="E42" s="70">
        <v>8000000</v>
      </c>
      <c r="G42" s="402">
        <f>+C42-E42</f>
        <v>1000000</v>
      </c>
    </row>
    <row r="43" spans="2:13" ht="13.9" thickBot="1" x14ac:dyDescent="0.4">
      <c r="B43" s="69">
        <v>2</v>
      </c>
      <c r="C43" s="70">
        <v>6000000</v>
      </c>
      <c r="D43" s="69">
        <v>2</v>
      </c>
      <c r="E43" s="70">
        <v>7000000</v>
      </c>
      <c r="G43" s="351"/>
    </row>
    <row r="44" spans="2:13" ht="13.9" thickBot="1" x14ac:dyDescent="0.4">
      <c r="B44" s="69">
        <v>3</v>
      </c>
      <c r="C44" s="70">
        <v>700000</v>
      </c>
      <c r="G44" s="351">
        <f t="shared" ref="G44:G48" si="1">+C44-E44</f>
        <v>700000</v>
      </c>
    </row>
    <row r="45" spans="2:13" ht="13.9" thickBot="1" x14ac:dyDescent="0.4">
      <c r="B45" s="69">
        <v>5</v>
      </c>
      <c r="C45" s="70">
        <v>6000000</v>
      </c>
      <c r="G45" s="351">
        <f t="shared" si="1"/>
        <v>6000000</v>
      </c>
    </row>
    <row r="46" spans="2:13" ht="13.9" thickBot="1" x14ac:dyDescent="0.4">
      <c r="B46" s="69">
        <v>6</v>
      </c>
      <c r="C46" s="70">
        <v>4000000</v>
      </c>
      <c r="D46" s="69">
        <v>6</v>
      </c>
      <c r="E46" s="70">
        <v>5000000</v>
      </c>
      <c r="G46" s="351"/>
    </row>
    <row r="47" spans="2:13" ht="13.9" thickBot="1" x14ac:dyDescent="0.4">
      <c r="B47" s="69">
        <v>10</v>
      </c>
      <c r="C47" s="70">
        <v>12000000</v>
      </c>
      <c r="D47" s="69">
        <v>10</v>
      </c>
      <c r="E47" s="70">
        <v>3000000</v>
      </c>
      <c r="G47" s="351">
        <f t="shared" si="1"/>
        <v>9000000</v>
      </c>
    </row>
    <row r="48" spans="2:13" ht="13.9" thickBot="1" x14ac:dyDescent="0.4">
      <c r="B48" s="69">
        <v>11</v>
      </c>
      <c r="C48" s="70">
        <v>1000000</v>
      </c>
      <c r="G48" s="351">
        <f t="shared" si="1"/>
        <v>1000000</v>
      </c>
    </row>
    <row r="49" spans="2:10" ht="13.9" thickBot="1" x14ac:dyDescent="0.4">
      <c r="B49" s="69">
        <v>13</v>
      </c>
      <c r="C49" s="70">
        <v>1200000</v>
      </c>
      <c r="D49" s="69">
        <v>13</v>
      </c>
      <c r="E49" s="70">
        <v>3500000</v>
      </c>
      <c r="G49" s="403"/>
      <c r="I49" s="317" t="s">
        <v>287</v>
      </c>
      <c r="J49" s="409"/>
    </row>
    <row r="50" spans="2:10" ht="13.9" thickBot="1" x14ac:dyDescent="0.4">
      <c r="B50" s="72"/>
      <c r="C50" s="73">
        <f>SUM(C42:C49)</f>
        <v>39900000</v>
      </c>
      <c r="D50" s="69"/>
      <c r="E50" s="70"/>
      <c r="G50" s="404">
        <f>SUM(G42:G49)</f>
        <v>17700000</v>
      </c>
      <c r="I50" s="405">
        <f>ROUND(+(G50/C50)*100,2)</f>
        <v>44.36</v>
      </c>
      <c r="J50" s="410"/>
    </row>
    <row r="52" spans="2:10" ht="13.9" thickBot="1" x14ac:dyDescent="0.4"/>
    <row r="53" spans="2:10" ht="13.9" thickBot="1" x14ac:dyDescent="0.4">
      <c r="B53" s="67" t="s">
        <v>57</v>
      </c>
      <c r="C53" s="68" t="s">
        <v>93</v>
      </c>
      <c r="D53" s="67" t="s">
        <v>57</v>
      </c>
      <c r="E53" s="68" t="s">
        <v>68</v>
      </c>
      <c r="G53" s="29" t="s">
        <v>348</v>
      </c>
    </row>
    <row r="54" spans="2:10" ht="13.9" thickBot="1" x14ac:dyDescent="0.4">
      <c r="B54" s="69">
        <v>1</v>
      </c>
      <c r="C54" s="70">
        <v>8000000</v>
      </c>
      <c r="G54" s="402">
        <f>+C54-E54</f>
        <v>8000000</v>
      </c>
    </row>
    <row r="55" spans="2:10" ht="13.9" thickBot="1" x14ac:dyDescent="0.4">
      <c r="B55" s="69">
        <v>2</v>
      </c>
      <c r="C55" s="70">
        <v>7000000</v>
      </c>
      <c r="D55" s="69">
        <v>2</v>
      </c>
      <c r="E55" s="70">
        <v>10000000</v>
      </c>
      <c r="G55" s="351"/>
    </row>
    <row r="56" spans="2:10" ht="13.9" thickBot="1" x14ac:dyDescent="0.4">
      <c r="B56" s="69">
        <v>6</v>
      </c>
      <c r="C56" s="70">
        <v>5000000</v>
      </c>
      <c r="D56" s="69">
        <v>6</v>
      </c>
      <c r="E56" s="70">
        <v>9000000</v>
      </c>
      <c r="G56" s="351"/>
    </row>
    <row r="57" spans="2:10" ht="13.9" thickBot="1" x14ac:dyDescent="0.4">
      <c r="B57" s="69">
        <v>10</v>
      </c>
      <c r="C57" s="70">
        <v>3000000</v>
      </c>
      <c r="G57" s="351">
        <f t="shared" ref="G57:G60" si="2">+C57-E57</f>
        <v>3000000</v>
      </c>
    </row>
    <row r="58" spans="2:10" ht="13.9" thickBot="1" x14ac:dyDescent="0.4">
      <c r="B58" s="69">
        <v>13</v>
      </c>
      <c r="C58" s="70">
        <v>3500000</v>
      </c>
      <c r="D58" s="69">
        <v>13</v>
      </c>
      <c r="E58" s="70">
        <v>600000</v>
      </c>
      <c r="G58" s="351">
        <f t="shared" si="2"/>
        <v>2900000</v>
      </c>
    </row>
    <row r="59" spans="2:10" ht="13.9" thickBot="1" x14ac:dyDescent="0.4">
      <c r="B59" s="69">
        <v>21</v>
      </c>
      <c r="C59" s="70">
        <v>4000000</v>
      </c>
      <c r="D59" s="69">
        <v>21</v>
      </c>
      <c r="E59" s="70">
        <v>3000000</v>
      </c>
      <c r="G59" s="351">
        <f t="shared" si="2"/>
        <v>1000000</v>
      </c>
    </row>
    <row r="60" spans="2:10" ht="13.9" thickBot="1" x14ac:dyDescent="0.4">
      <c r="B60" s="69">
        <v>22</v>
      </c>
      <c r="C60" s="70">
        <v>1600000</v>
      </c>
      <c r="G60" s="351">
        <f t="shared" si="2"/>
        <v>1600000</v>
      </c>
    </row>
    <row r="61" spans="2:10" ht="13.9" thickBot="1" x14ac:dyDescent="0.4">
      <c r="B61" s="69">
        <v>25</v>
      </c>
      <c r="C61" s="70">
        <v>2400000</v>
      </c>
      <c r="D61" s="69">
        <v>25</v>
      </c>
      <c r="E61" s="70">
        <v>5000000</v>
      </c>
      <c r="G61" s="403"/>
      <c r="I61" s="317" t="s">
        <v>287</v>
      </c>
      <c r="J61" s="409"/>
    </row>
    <row r="62" spans="2:10" ht="13.9" thickBot="1" x14ac:dyDescent="0.4">
      <c r="B62" s="72"/>
      <c r="C62" s="73">
        <f>SUM(C54:C61)</f>
        <v>34500000</v>
      </c>
      <c r="D62" s="69"/>
      <c r="E62" s="70"/>
      <c r="G62" s="404">
        <f>SUM(G54:G61)</f>
        <v>16500000</v>
      </c>
      <c r="I62" s="405">
        <f>ROUND(+(G62/C62)*100,2)</f>
        <v>47.83</v>
      </c>
      <c r="J62" s="410"/>
    </row>
  </sheetData>
  <mergeCells count="3">
    <mergeCell ref="B2:I4"/>
    <mergeCell ref="L5:M5"/>
    <mergeCell ref="O5:P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4E5E9-4CFA-4644-A50F-18D6107866F8}">
  <dimension ref="B2:G39"/>
  <sheetViews>
    <sheetView showGridLines="0" zoomScale="140" zoomScaleNormal="140" workbookViewId="0">
      <selection activeCell="F34" sqref="F34"/>
    </sheetView>
  </sheetViews>
  <sheetFormatPr baseColWidth="10" defaultColWidth="11.53125" defaultRowHeight="15" x14ac:dyDescent="0.4"/>
  <cols>
    <col min="1" max="1" width="4.33203125" style="42" customWidth="1"/>
    <col min="2" max="2" width="20.1328125" style="42" customWidth="1"/>
    <col min="3" max="3" width="26.6640625" style="42" bestFit="1" customWidth="1"/>
    <col min="4" max="4" width="15.796875" style="42" customWidth="1"/>
    <col min="5" max="5" width="20.796875" style="42" customWidth="1"/>
    <col min="6" max="7" width="20.86328125" style="42" customWidth="1"/>
    <col min="8" max="16384" width="11.53125" style="42"/>
  </cols>
  <sheetData>
    <row r="2" spans="2:7" x14ac:dyDescent="0.4">
      <c r="D2" s="3"/>
      <c r="E2" s="3"/>
      <c r="F2" s="3"/>
    </row>
    <row r="3" spans="2:7" x14ac:dyDescent="0.4">
      <c r="B3" s="584" t="s">
        <v>79</v>
      </c>
      <c r="C3" s="585"/>
      <c r="D3" s="3"/>
      <c r="E3" s="3"/>
      <c r="F3" s="3"/>
    </row>
    <row r="4" spans="2:7" ht="30" x14ac:dyDescent="0.4">
      <c r="B4" s="43" t="s">
        <v>75</v>
      </c>
      <c r="C4" s="43" t="s">
        <v>76</v>
      </c>
      <c r="D4" s="43" t="s">
        <v>87</v>
      </c>
      <c r="E4" s="43" t="s">
        <v>80</v>
      </c>
      <c r="F4" s="44"/>
    </row>
    <row r="5" spans="2:7" x14ac:dyDescent="0.4">
      <c r="B5" s="45" t="str">
        <f>+BCE!B12</f>
        <v>Acciones CCU</v>
      </c>
      <c r="C5" s="45" t="s">
        <v>77</v>
      </c>
      <c r="D5" s="48">
        <v>15000000</v>
      </c>
      <c r="E5" s="51">
        <v>21000000</v>
      </c>
      <c r="F5" s="46"/>
    </row>
    <row r="6" spans="2:7" x14ac:dyDescent="0.4">
      <c r="B6" s="47" t="str">
        <f>+BCE!B13</f>
        <v xml:space="preserve">Acciones Lan </v>
      </c>
      <c r="C6" s="47" t="s">
        <v>78</v>
      </c>
      <c r="D6" s="49">
        <v>25000000</v>
      </c>
      <c r="E6" s="418">
        <v>20000000</v>
      </c>
    </row>
    <row r="8" spans="2:7" x14ac:dyDescent="0.4">
      <c r="B8" s="584" t="s">
        <v>82</v>
      </c>
      <c r="C8" s="585"/>
      <c r="D8" s="3"/>
      <c r="E8" s="3"/>
    </row>
    <row r="9" spans="2:7" ht="30" x14ac:dyDescent="0.4">
      <c r="B9" s="43" t="s">
        <v>75</v>
      </c>
      <c r="C9" s="43" t="s">
        <v>76</v>
      </c>
      <c r="D9" s="43" t="s">
        <v>81</v>
      </c>
      <c r="E9" s="43" t="s">
        <v>83</v>
      </c>
    </row>
    <row r="10" spans="2:7" x14ac:dyDescent="0.4">
      <c r="B10" s="45" t="str">
        <f>+B5</f>
        <v>Acciones CCU</v>
      </c>
      <c r="C10" s="45" t="s">
        <v>77</v>
      </c>
      <c r="D10" s="48">
        <v>15000000</v>
      </c>
      <c r="E10" s="50" t="s">
        <v>84</v>
      </c>
    </row>
    <row r="11" spans="2:7" x14ac:dyDescent="0.4">
      <c r="B11" s="47" t="str">
        <f>+B6</f>
        <v xml:space="preserve">Acciones Lan </v>
      </c>
      <c r="C11" s="47" t="s">
        <v>78</v>
      </c>
      <c r="D11" s="49">
        <v>23500000</v>
      </c>
      <c r="E11" s="50" t="s">
        <v>84</v>
      </c>
    </row>
    <row r="12" spans="2:7" ht="15.4" thickBot="1" x14ac:dyDescent="0.45"/>
    <row r="13" spans="2:7" ht="15.4" thickBot="1" x14ac:dyDescent="0.45">
      <c r="B13" s="7" t="s">
        <v>2</v>
      </c>
      <c r="C13" s="572" t="s">
        <v>1</v>
      </c>
      <c r="D13" s="572"/>
      <c r="E13" s="572"/>
      <c r="F13" s="35" t="s">
        <v>3</v>
      </c>
      <c r="G13" s="36" t="s">
        <v>4</v>
      </c>
    </row>
    <row r="14" spans="2:7" x14ac:dyDescent="0.4">
      <c r="B14" s="37" t="s">
        <v>68</v>
      </c>
      <c r="C14" s="21" t="s">
        <v>5</v>
      </c>
      <c r="D14" s="22">
        <v>1</v>
      </c>
      <c r="E14" s="23" t="s">
        <v>5</v>
      </c>
      <c r="F14" s="40"/>
      <c r="G14" s="40"/>
    </row>
    <row r="15" spans="2:7" x14ac:dyDescent="0.4">
      <c r="B15" s="37" t="s">
        <v>264</v>
      </c>
      <c r="C15" s="38" t="str">
        <f>+B5</f>
        <v>Acciones CCU</v>
      </c>
      <c r="D15" s="20"/>
      <c r="E15" s="39"/>
      <c r="F15" s="41">
        <f>+E5-D5</f>
        <v>6000000</v>
      </c>
      <c r="G15" s="37"/>
    </row>
    <row r="16" spans="2:7" x14ac:dyDescent="0.4">
      <c r="B16" s="37" t="s">
        <v>306</v>
      </c>
      <c r="C16" s="38"/>
      <c r="D16" s="20" t="s">
        <v>341</v>
      </c>
      <c r="E16" s="39"/>
      <c r="F16" s="37"/>
      <c r="G16" s="41">
        <f>+F15</f>
        <v>6000000</v>
      </c>
    </row>
    <row r="17" spans="2:7" ht="15.4" thickBot="1" x14ac:dyDescent="0.45">
      <c r="B17" s="27"/>
      <c r="C17" s="24" t="s">
        <v>85</v>
      </c>
      <c r="D17" s="25"/>
      <c r="E17" s="26"/>
      <c r="F17" s="27"/>
      <c r="G17" s="27"/>
    </row>
    <row r="18" spans="2:7" ht="15.4" thickBot="1" x14ac:dyDescent="0.45"/>
    <row r="19" spans="2:7" ht="15.4" thickBot="1" x14ac:dyDescent="0.45">
      <c r="B19" s="7" t="s">
        <v>2</v>
      </c>
      <c r="C19" s="572" t="s">
        <v>1</v>
      </c>
      <c r="D19" s="572"/>
      <c r="E19" s="572"/>
      <c r="F19" s="35" t="s">
        <v>3</v>
      </c>
      <c r="G19" s="36" t="s">
        <v>4</v>
      </c>
    </row>
    <row r="20" spans="2:7" x14ac:dyDescent="0.4">
      <c r="B20" s="37" t="s">
        <v>68</v>
      </c>
      <c r="C20" s="21" t="s">
        <v>5</v>
      </c>
      <c r="D20" s="22">
        <v>1</v>
      </c>
      <c r="E20" s="23" t="s">
        <v>5</v>
      </c>
      <c r="F20" s="40"/>
      <c r="G20" s="40"/>
    </row>
    <row r="21" spans="2:7" x14ac:dyDescent="0.4">
      <c r="B21" s="37" t="s">
        <v>264</v>
      </c>
      <c r="C21" s="38" t="str">
        <f>+B5</f>
        <v>Acciones CCU</v>
      </c>
      <c r="D21" s="20"/>
      <c r="E21" s="39"/>
      <c r="F21" s="41">
        <f>ROUND(+D10*0.15,0)</f>
        <v>2250000</v>
      </c>
      <c r="G21" s="37"/>
    </row>
    <row r="22" spans="2:7" x14ac:dyDescent="0.4">
      <c r="B22" s="37" t="s">
        <v>306</v>
      </c>
      <c r="C22" s="38"/>
      <c r="D22" s="20" t="s">
        <v>351</v>
      </c>
      <c r="E22" s="39"/>
      <c r="F22" s="37"/>
      <c r="G22" s="41">
        <f>+F21</f>
        <v>2250000</v>
      </c>
    </row>
    <row r="23" spans="2:7" ht="15.4" thickBot="1" x14ac:dyDescent="0.45">
      <c r="B23" s="27"/>
      <c r="C23" s="24" t="s">
        <v>86</v>
      </c>
      <c r="D23" s="25"/>
      <c r="E23" s="26"/>
      <c r="F23" s="27"/>
      <c r="G23" s="27"/>
    </row>
    <row r="24" spans="2:7" ht="15.4" thickBot="1" x14ac:dyDescent="0.45"/>
    <row r="25" spans="2:7" ht="15.4" thickBot="1" x14ac:dyDescent="0.45">
      <c r="B25" s="7" t="s">
        <v>2</v>
      </c>
      <c r="C25" s="572" t="s">
        <v>1</v>
      </c>
      <c r="D25" s="572"/>
      <c r="E25" s="572"/>
      <c r="F25" s="35" t="s">
        <v>3</v>
      </c>
      <c r="G25" s="36" t="s">
        <v>4</v>
      </c>
    </row>
    <row r="26" spans="2:7" x14ac:dyDescent="0.4">
      <c r="B26" s="37" t="s">
        <v>68</v>
      </c>
      <c r="C26" s="21" t="s">
        <v>5</v>
      </c>
      <c r="D26" s="22">
        <v>2</v>
      </c>
      <c r="E26" s="23" t="s">
        <v>5</v>
      </c>
      <c r="F26" s="40"/>
      <c r="G26" s="40"/>
    </row>
    <row r="27" spans="2:7" x14ac:dyDescent="0.4">
      <c r="B27" s="37" t="s">
        <v>56</v>
      </c>
      <c r="C27" s="38" t="s">
        <v>44</v>
      </c>
      <c r="D27" s="20"/>
      <c r="E27" s="39"/>
      <c r="F27" s="41">
        <f>+D6-E6</f>
        <v>5000000</v>
      </c>
      <c r="G27" s="37"/>
    </row>
    <row r="28" spans="2:7" x14ac:dyDescent="0.4">
      <c r="B28" s="37" t="s">
        <v>264</v>
      </c>
      <c r="C28" s="38"/>
      <c r="D28" s="20" t="str">
        <f>+B6</f>
        <v xml:space="preserve">Acciones Lan </v>
      </c>
      <c r="E28" s="39"/>
      <c r="F28" s="37"/>
      <c r="G28" s="41">
        <f>+F27</f>
        <v>5000000</v>
      </c>
    </row>
    <row r="29" spans="2:7" ht="15.4" thickBot="1" x14ac:dyDescent="0.45">
      <c r="B29" s="27"/>
      <c r="C29" s="24" t="s">
        <v>88</v>
      </c>
      <c r="D29" s="25"/>
      <c r="E29" s="26"/>
      <c r="F29" s="27"/>
      <c r="G29" s="27"/>
    </row>
    <row r="30" spans="2:7" ht="15.4" thickBot="1" x14ac:dyDescent="0.45"/>
    <row r="31" spans="2:7" ht="15.4" thickBot="1" x14ac:dyDescent="0.45">
      <c r="B31" s="7" t="s">
        <v>2</v>
      </c>
      <c r="C31" s="572" t="s">
        <v>1</v>
      </c>
      <c r="D31" s="572"/>
      <c r="E31" s="572"/>
      <c r="F31" s="35" t="s">
        <v>3</v>
      </c>
      <c r="G31" s="36" t="s">
        <v>4</v>
      </c>
    </row>
    <row r="32" spans="2:7" x14ac:dyDescent="0.4">
      <c r="B32" s="37" t="s">
        <v>68</v>
      </c>
      <c r="C32" s="21" t="s">
        <v>5</v>
      </c>
      <c r="D32" s="22">
        <v>2</v>
      </c>
      <c r="E32" s="23" t="s">
        <v>5</v>
      </c>
      <c r="F32" s="40"/>
      <c r="G32" s="40"/>
    </row>
    <row r="33" spans="2:7" x14ac:dyDescent="0.4">
      <c r="B33" s="37" t="str">
        <f>+B21</f>
        <v>Activo</v>
      </c>
      <c r="C33" s="38" t="str">
        <f>+B6</f>
        <v xml:space="preserve">Acciones Lan </v>
      </c>
      <c r="D33" s="20"/>
      <c r="E33" s="39"/>
      <c r="F33" s="41">
        <f>ROUND(+D11*0.15,0)</f>
        <v>3525000</v>
      </c>
      <c r="G33" s="37"/>
    </row>
    <row r="34" spans="2:7" x14ac:dyDescent="0.4">
      <c r="B34" s="37" t="str">
        <f>+B22</f>
        <v>Resultado</v>
      </c>
      <c r="C34" s="38"/>
      <c r="D34" s="20" t="str">
        <f>+D22</f>
        <v>Corrección Monetaria</v>
      </c>
      <c r="E34" s="39"/>
      <c r="F34" s="37"/>
      <c r="G34" s="41">
        <f>+F33</f>
        <v>3525000</v>
      </c>
    </row>
    <row r="35" spans="2:7" ht="15.4" thickBot="1" x14ac:dyDescent="0.45">
      <c r="B35" s="27"/>
      <c r="C35" s="24" t="s">
        <v>89</v>
      </c>
      <c r="D35" s="25"/>
      <c r="E35" s="26"/>
      <c r="F35" s="27"/>
      <c r="G35" s="27"/>
    </row>
    <row r="36" spans="2:7" ht="15.4" thickBot="1" x14ac:dyDescent="0.45"/>
    <row r="37" spans="2:7" x14ac:dyDescent="0.4">
      <c r="B37" s="52"/>
      <c r="C37" s="56" t="s">
        <v>75</v>
      </c>
      <c r="D37" s="52"/>
      <c r="E37" s="43" t="s">
        <v>90</v>
      </c>
      <c r="F37" s="43" t="s">
        <v>59</v>
      </c>
      <c r="G37" s="52"/>
    </row>
    <row r="38" spans="2:7" x14ac:dyDescent="0.4">
      <c r="B38" s="53"/>
      <c r="C38" s="57" t="str">
        <f>+B5</f>
        <v>Acciones CCU</v>
      </c>
      <c r="D38" s="54"/>
      <c r="E38" s="59"/>
      <c r="F38" s="48"/>
      <c r="G38" s="54"/>
    </row>
    <row r="39" spans="2:7" ht="15.4" thickBot="1" x14ac:dyDescent="0.45">
      <c r="C39" s="58" t="str">
        <f>+B6</f>
        <v xml:space="preserve">Acciones Lan </v>
      </c>
      <c r="D39" s="55"/>
      <c r="E39" s="60"/>
      <c r="F39" s="49"/>
      <c r="G39" s="55"/>
    </row>
  </sheetData>
  <mergeCells count="6">
    <mergeCell ref="C31:E31"/>
    <mergeCell ref="B3:C3"/>
    <mergeCell ref="B8:C8"/>
    <mergeCell ref="C13:E13"/>
    <mergeCell ref="C19:E19"/>
    <mergeCell ref="C25:E2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CC6BA-4580-42CA-8650-C6ADAE17401D}">
  <dimension ref="B2:J20"/>
  <sheetViews>
    <sheetView showGridLines="0" zoomScale="110" zoomScaleNormal="110" workbookViewId="0">
      <selection activeCell="G20" sqref="G20"/>
    </sheetView>
  </sheetViews>
  <sheetFormatPr baseColWidth="10" defaultColWidth="11.53125" defaultRowHeight="15" x14ac:dyDescent="0.4"/>
  <cols>
    <col min="1" max="1" width="5.19921875" style="42" customWidth="1"/>
    <col min="2" max="2" width="22.1328125" style="42" customWidth="1"/>
    <col min="3" max="3" width="11.53125" style="42" bestFit="1" customWidth="1"/>
    <col min="4" max="4" width="9.46484375" style="42" bestFit="1" customWidth="1"/>
    <col min="5" max="5" width="11.19921875" style="42" customWidth="1"/>
    <col min="6" max="6" width="27.46484375" style="42" bestFit="1" customWidth="1"/>
    <col min="7" max="9" width="17.53125" style="78" customWidth="1"/>
    <col min="10" max="10" width="18.46484375" style="78" bestFit="1" customWidth="1"/>
    <col min="11" max="16384" width="11.53125" style="42"/>
  </cols>
  <sheetData>
    <row r="2" spans="2:10" x14ac:dyDescent="0.4">
      <c r="B2" s="77" t="s">
        <v>119</v>
      </c>
    </row>
    <row r="3" spans="2:10" ht="15.4" thickBot="1" x14ac:dyDescent="0.45"/>
    <row r="4" spans="2:10" ht="15.4" thickBot="1" x14ac:dyDescent="0.45">
      <c r="B4" s="586" t="s">
        <v>25</v>
      </c>
      <c r="C4" s="588" t="s">
        <v>103</v>
      </c>
      <c r="D4" s="589"/>
      <c r="E4" s="590"/>
      <c r="F4" s="591" t="s">
        <v>104</v>
      </c>
      <c r="G4" s="593" t="s">
        <v>105</v>
      </c>
      <c r="H4" s="594"/>
      <c r="I4" s="595"/>
      <c r="J4" s="288" t="s">
        <v>106</v>
      </c>
    </row>
    <row r="5" spans="2:10" ht="15.4" thickBot="1" x14ac:dyDescent="0.45">
      <c r="B5" s="587"/>
      <c r="C5" s="289" t="s">
        <v>107</v>
      </c>
      <c r="D5" s="289" t="s">
        <v>108</v>
      </c>
      <c r="E5" s="289" t="s">
        <v>109</v>
      </c>
      <c r="F5" s="592"/>
      <c r="G5" s="290" t="s">
        <v>107</v>
      </c>
      <c r="H5" s="290" t="s">
        <v>108</v>
      </c>
      <c r="I5" s="290" t="s">
        <v>109</v>
      </c>
      <c r="J5" s="290" t="s">
        <v>120</v>
      </c>
    </row>
    <row r="6" spans="2:10" ht="15.4" thickBot="1" x14ac:dyDescent="0.45">
      <c r="B6" s="79" t="s">
        <v>110</v>
      </c>
      <c r="C6" s="80">
        <v>70</v>
      </c>
      <c r="D6" s="80"/>
      <c r="E6" s="80">
        <f>+C6</f>
        <v>70</v>
      </c>
      <c r="F6" s="82">
        <v>150000</v>
      </c>
      <c r="G6" s="81">
        <f>+C6*F6</f>
        <v>10500000</v>
      </c>
      <c r="H6" s="81"/>
      <c r="I6" s="81">
        <f>+G6</f>
        <v>10500000</v>
      </c>
      <c r="J6" s="83">
        <f>ROUND(+I6/E6,2)</f>
        <v>150000</v>
      </c>
    </row>
    <row r="7" spans="2:10" ht="15.4" thickBot="1" x14ac:dyDescent="0.45">
      <c r="B7" s="79" t="s">
        <v>111</v>
      </c>
      <c r="C7" s="80">
        <v>35</v>
      </c>
      <c r="D7" s="80"/>
      <c r="E7" s="255">
        <f>+E6+C7-D7</f>
        <v>105</v>
      </c>
      <c r="F7" s="82">
        <v>175000</v>
      </c>
      <c r="G7" s="81">
        <f>+C7*F7</f>
        <v>6125000</v>
      </c>
      <c r="H7" s="81"/>
      <c r="I7" s="81">
        <f>+I6+G7-H7</f>
        <v>16625000</v>
      </c>
      <c r="J7" s="83">
        <f t="shared" ref="J7:J14" si="0">ROUND(+I7/E7,2)</f>
        <v>158333.32999999999</v>
      </c>
    </row>
    <row r="8" spans="2:10" ht="15.4" thickBot="1" x14ac:dyDescent="0.45">
      <c r="B8" s="79" t="s">
        <v>112</v>
      </c>
      <c r="C8" s="80"/>
      <c r="D8" s="80">
        <v>50</v>
      </c>
      <c r="E8" s="255">
        <f t="shared" ref="E8:E14" si="1">+E7+C8-D8</f>
        <v>55</v>
      </c>
      <c r="F8" s="82"/>
      <c r="G8" s="81"/>
      <c r="H8" s="81">
        <f>ROUND(+J7*D8,0)</f>
        <v>7916667</v>
      </c>
      <c r="I8" s="81">
        <f t="shared" ref="I8:I14" si="2">+I7+G8-H8</f>
        <v>8708333</v>
      </c>
      <c r="J8" s="83">
        <f t="shared" si="0"/>
        <v>158333.32999999999</v>
      </c>
    </row>
    <row r="9" spans="2:10" ht="15.4" thickBot="1" x14ac:dyDescent="0.45">
      <c r="B9" s="79" t="s">
        <v>113</v>
      </c>
      <c r="C9" s="80">
        <v>80</v>
      </c>
      <c r="D9" s="80"/>
      <c r="E9" s="255">
        <f t="shared" si="1"/>
        <v>135</v>
      </c>
      <c r="F9" s="426">
        <v>190000</v>
      </c>
      <c r="G9" s="81">
        <f>+C9*F9</f>
        <v>15200000</v>
      </c>
      <c r="H9" s="81"/>
      <c r="I9" s="81">
        <f t="shared" si="2"/>
        <v>23908333</v>
      </c>
      <c r="J9" s="83">
        <f t="shared" si="0"/>
        <v>177098.76</v>
      </c>
    </row>
    <row r="10" spans="2:10" ht="15.4" thickBot="1" x14ac:dyDescent="0.45">
      <c r="B10" s="79" t="s">
        <v>114</v>
      </c>
      <c r="C10" s="80"/>
      <c r="D10" s="255">
        <v>120</v>
      </c>
      <c r="E10" s="255">
        <f t="shared" si="1"/>
        <v>15</v>
      </c>
      <c r="F10" s="82"/>
      <c r="G10" s="81"/>
      <c r="H10" s="81">
        <f>ROUND(+J9*D10,0)</f>
        <v>21251851</v>
      </c>
      <c r="I10" s="81">
        <f t="shared" si="2"/>
        <v>2656482</v>
      </c>
      <c r="J10" s="83">
        <f t="shared" si="0"/>
        <v>177098.8</v>
      </c>
    </row>
    <row r="11" spans="2:10" ht="15.4" thickBot="1" x14ac:dyDescent="0.45">
      <c r="B11" s="420" t="s">
        <v>115</v>
      </c>
      <c r="C11" s="421">
        <v>350</v>
      </c>
      <c r="D11" s="421"/>
      <c r="E11" s="422">
        <f t="shared" si="1"/>
        <v>365</v>
      </c>
      <c r="F11" s="423">
        <v>177000</v>
      </c>
      <c r="G11" s="424">
        <f>+C11*F11</f>
        <v>61950000</v>
      </c>
      <c r="H11" s="424"/>
      <c r="I11" s="424">
        <f t="shared" si="2"/>
        <v>64606482</v>
      </c>
      <c r="J11" s="425">
        <f t="shared" si="0"/>
        <v>177004.06</v>
      </c>
    </row>
    <row r="12" spans="2:10" ht="15.4" thickBot="1" x14ac:dyDescent="0.45">
      <c r="B12" s="79" t="s">
        <v>116</v>
      </c>
      <c r="C12" s="80"/>
      <c r="D12" s="80">
        <v>15</v>
      </c>
      <c r="E12" s="255">
        <f t="shared" si="1"/>
        <v>350</v>
      </c>
      <c r="F12" s="80"/>
      <c r="G12" s="81"/>
      <c r="H12" s="81">
        <f t="shared" ref="H12:H14" si="3">ROUND(+J11*D12,0)</f>
        <v>2655061</v>
      </c>
      <c r="I12" s="81">
        <f t="shared" si="2"/>
        <v>61951421</v>
      </c>
      <c r="J12" s="83">
        <f t="shared" si="0"/>
        <v>177004.06</v>
      </c>
    </row>
    <row r="13" spans="2:10" ht="15.4" thickBot="1" x14ac:dyDescent="0.45">
      <c r="B13" s="79" t="s">
        <v>117</v>
      </c>
      <c r="C13" s="80"/>
      <c r="D13" s="80">
        <v>20</v>
      </c>
      <c r="E13" s="255">
        <f t="shared" si="1"/>
        <v>330</v>
      </c>
      <c r="F13" s="80"/>
      <c r="G13" s="81"/>
      <c r="H13" s="81">
        <f t="shared" si="3"/>
        <v>3540081</v>
      </c>
      <c r="I13" s="81">
        <f t="shared" si="2"/>
        <v>58411340</v>
      </c>
      <c r="J13" s="83">
        <f t="shared" si="0"/>
        <v>177004.06</v>
      </c>
    </row>
    <row r="14" spans="2:10" ht="15.4" thickBot="1" x14ac:dyDescent="0.45">
      <c r="B14" s="79" t="s">
        <v>118</v>
      </c>
      <c r="C14" s="80"/>
      <c r="D14" s="80">
        <v>10</v>
      </c>
      <c r="E14" s="255">
        <f t="shared" si="1"/>
        <v>320</v>
      </c>
      <c r="F14" s="80"/>
      <c r="G14" s="81"/>
      <c r="H14" s="81">
        <f t="shared" si="3"/>
        <v>1770041</v>
      </c>
      <c r="I14" s="419">
        <f t="shared" si="2"/>
        <v>56641299</v>
      </c>
      <c r="J14" s="83">
        <f t="shared" si="0"/>
        <v>177004.06</v>
      </c>
    </row>
    <row r="16" spans="2:10" x14ac:dyDescent="0.4">
      <c r="I16" s="78">
        <f>+BCE!C17</f>
        <v>56641299</v>
      </c>
    </row>
    <row r="18" spans="6:9" ht="15.4" thickBot="1" x14ac:dyDescent="0.45">
      <c r="I18" s="78">
        <f>+I16-I14</f>
        <v>0</v>
      </c>
    </row>
    <row r="19" spans="6:9" ht="15.4" thickBot="1" x14ac:dyDescent="0.45">
      <c r="F19" s="42" t="s">
        <v>352</v>
      </c>
      <c r="G19" s="78" t="s">
        <v>353</v>
      </c>
      <c r="I19" s="428" t="s">
        <v>354</v>
      </c>
    </row>
    <row r="20" spans="6:9" ht="15.4" thickBot="1" x14ac:dyDescent="0.45">
      <c r="F20" s="427">
        <f>+F9</f>
        <v>190000</v>
      </c>
      <c r="G20" s="78">
        <f>ROUND(+F20*1.07,0)</f>
        <v>203300</v>
      </c>
      <c r="I20" s="429">
        <f>+G20*E14</f>
        <v>65056000</v>
      </c>
    </row>
  </sheetData>
  <mergeCells count="4">
    <mergeCell ref="B4:B5"/>
    <mergeCell ref="C4:E4"/>
    <mergeCell ref="F4:F5"/>
    <mergeCell ref="G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C71DD-2CE9-41C0-A597-43CFF8A9D225}">
  <dimension ref="B1:J41"/>
  <sheetViews>
    <sheetView zoomScale="170" zoomScaleNormal="170" workbookViewId="0">
      <selection activeCell="C14" sqref="C14"/>
    </sheetView>
  </sheetViews>
  <sheetFormatPr baseColWidth="10" defaultColWidth="10.86328125" defaultRowHeight="12.75" x14ac:dyDescent="0.35"/>
  <cols>
    <col min="1" max="1" width="5.6640625" style="18" customWidth="1"/>
    <col min="2" max="2" width="33.796875" style="18" customWidth="1"/>
    <col min="3" max="3" width="18.86328125" style="104" bestFit="1" customWidth="1"/>
    <col min="4" max="4" width="1.796875" style="18" customWidth="1"/>
    <col min="5" max="5" width="33.796875" style="18" customWidth="1"/>
    <col min="6" max="6" width="16.86328125" style="209" customWidth="1"/>
    <col min="7" max="7" width="10.86328125" style="18"/>
    <col min="8" max="8" width="13.46484375" style="18" bestFit="1" customWidth="1"/>
    <col min="9" max="9" width="10.86328125" style="18"/>
    <col min="10" max="10" width="11.46484375" style="18" bestFit="1" customWidth="1"/>
    <col min="11" max="16384" width="10.86328125" style="18"/>
  </cols>
  <sheetData>
    <row r="1" spans="2:6" ht="13.15" thickBot="1" x14ac:dyDescent="0.4"/>
    <row r="2" spans="2:6" ht="13.15" thickBot="1" x14ac:dyDescent="0.4">
      <c r="B2" s="435" t="s">
        <v>209</v>
      </c>
      <c r="C2" s="436"/>
      <c r="D2" s="436"/>
      <c r="E2" s="436"/>
      <c r="F2" s="437"/>
    </row>
    <row r="3" spans="2:6" ht="6" customHeight="1" x14ac:dyDescent="0.35">
      <c r="B3" s="211"/>
      <c r="C3" s="211"/>
      <c r="D3" s="211"/>
      <c r="E3" s="211"/>
      <c r="F3" s="211"/>
    </row>
    <row r="4" spans="2:6" x14ac:dyDescent="0.35">
      <c r="B4" s="434" t="s">
        <v>63</v>
      </c>
      <c r="C4" s="434"/>
      <c r="D4" s="434"/>
      <c r="E4" s="434"/>
      <c r="F4" s="434"/>
    </row>
    <row r="5" spans="2:6" x14ac:dyDescent="0.35">
      <c r="B5" s="212" t="s">
        <v>10</v>
      </c>
      <c r="C5" s="214" t="s">
        <v>70</v>
      </c>
      <c r="D5" s="16"/>
      <c r="E5" s="212" t="s">
        <v>11</v>
      </c>
      <c r="F5" s="214" t="s">
        <v>70</v>
      </c>
    </row>
    <row r="6" spans="2:6" ht="6" customHeight="1" x14ac:dyDescent="0.35">
      <c r="B6" s="17"/>
      <c r="C6" s="101"/>
      <c r="D6" s="17"/>
      <c r="E6" s="17"/>
      <c r="F6" s="103"/>
    </row>
    <row r="7" spans="2:6" x14ac:dyDescent="0.35">
      <c r="B7" s="16" t="s">
        <v>14</v>
      </c>
      <c r="C7" s="102">
        <f>+C8+C9</f>
        <v>27000000</v>
      </c>
      <c r="D7" s="16"/>
      <c r="E7" s="16" t="s">
        <v>15</v>
      </c>
      <c r="F7" s="102">
        <f>+F8</f>
        <v>425998973</v>
      </c>
    </row>
    <row r="8" spans="2:6" x14ac:dyDescent="0.35">
      <c r="B8" s="17" t="s">
        <v>16</v>
      </c>
      <c r="C8" s="103">
        <v>2000000</v>
      </c>
      <c r="D8" s="17"/>
      <c r="E8" s="343" t="s">
        <v>267</v>
      </c>
      <c r="F8" s="344">
        <v>425998973</v>
      </c>
    </row>
    <row r="9" spans="2:6" x14ac:dyDescent="0.35">
      <c r="B9" s="17" t="s">
        <v>17</v>
      </c>
      <c r="C9" s="103">
        <v>25000000</v>
      </c>
      <c r="D9" s="17"/>
      <c r="E9" s="16" t="s">
        <v>18</v>
      </c>
      <c r="F9" s="102">
        <f>+F10+F11+F12+F13+F14+F15</f>
        <v>49250000</v>
      </c>
    </row>
    <row r="10" spans="2:6" x14ac:dyDescent="0.35">
      <c r="B10" s="16" t="s">
        <v>60</v>
      </c>
      <c r="C10" s="207">
        <f>+C11+C12+C13</f>
        <v>40000000</v>
      </c>
      <c r="D10" s="17"/>
      <c r="E10" s="17" t="s">
        <v>20</v>
      </c>
      <c r="F10" s="103">
        <v>20000000</v>
      </c>
    </row>
    <row r="11" spans="2:6" x14ac:dyDescent="0.35">
      <c r="B11" s="399" t="s">
        <v>61</v>
      </c>
      <c r="C11" s="400">
        <v>0</v>
      </c>
      <c r="D11" s="17"/>
      <c r="E11" s="343" t="s">
        <v>22</v>
      </c>
      <c r="F11" s="344">
        <f>6800000-5300000</f>
        <v>1500000</v>
      </c>
    </row>
    <row r="12" spans="2:6" x14ac:dyDescent="0.35">
      <c r="B12" s="399" t="s">
        <v>62</v>
      </c>
      <c r="C12" s="400">
        <f>+'9. Acciones'!D5</f>
        <v>15000000</v>
      </c>
      <c r="D12" s="17"/>
      <c r="E12" s="343" t="s">
        <v>24</v>
      </c>
      <c r="F12" s="344">
        <v>8000000</v>
      </c>
    </row>
    <row r="13" spans="2:6" x14ac:dyDescent="0.35">
      <c r="B13" s="399" t="s">
        <v>74</v>
      </c>
      <c r="C13" s="400">
        <f>+'9. Acciones'!D6</f>
        <v>25000000</v>
      </c>
      <c r="D13" s="17"/>
      <c r="E13" s="17" t="s">
        <v>151</v>
      </c>
      <c r="F13" s="103">
        <v>12000000</v>
      </c>
    </row>
    <row r="14" spans="2:6" x14ac:dyDescent="0.35">
      <c r="B14" s="16" t="s">
        <v>19</v>
      </c>
      <c r="C14" s="102">
        <f>+C15+C16</f>
        <v>144790000</v>
      </c>
      <c r="D14" s="17"/>
      <c r="E14" s="19" t="s">
        <v>152</v>
      </c>
      <c r="F14" s="103">
        <v>3500000</v>
      </c>
    </row>
    <row r="15" spans="2:6" x14ac:dyDescent="0.35">
      <c r="B15" s="17" t="s">
        <v>21</v>
      </c>
      <c r="C15" s="103">
        <f>+'8. Deterioro'!E15</f>
        <v>154000000</v>
      </c>
      <c r="D15" s="17"/>
      <c r="E15" s="19" t="s">
        <v>206</v>
      </c>
      <c r="F15" s="208">
        <v>4250000</v>
      </c>
    </row>
    <row r="16" spans="2:6" x14ac:dyDescent="0.35">
      <c r="B16" s="343" t="s">
        <v>23</v>
      </c>
      <c r="C16" s="344">
        <v>-9210000</v>
      </c>
      <c r="D16" s="17"/>
      <c r="E16" s="16" t="s">
        <v>26</v>
      </c>
      <c r="F16" s="102">
        <f>+F17+F18+F19</f>
        <v>150000000</v>
      </c>
    </row>
    <row r="17" spans="2:6" x14ac:dyDescent="0.35">
      <c r="B17" s="16" t="s">
        <v>25</v>
      </c>
      <c r="C17" s="102">
        <f>+C18</f>
        <v>56641299</v>
      </c>
      <c r="D17" s="17"/>
      <c r="E17" s="343" t="s">
        <v>248</v>
      </c>
      <c r="F17" s="344">
        <v>35000000</v>
      </c>
    </row>
    <row r="18" spans="2:6" x14ac:dyDescent="0.35">
      <c r="B18" s="343" t="s">
        <v>27</v>
      </c>
      <c r="C18" s="344">
        <f>+'10.Existencias'!I14</f>
        <v>56641299</v>
      </c>
      <c r="D18" s="17"/>
      <c r="E18" s="343" t="s">
        <v>30</v>
      </c>
      <c r="F18" s="344">
        <v>70000000</v>
      </c>
    </row>
    <row r="19" spans="2:6" x14ac:dyDescent="0.35">
      <c r="B19" s="16" t="s">
        <v>28</v>
      </c>
      <c r="C19" s="102">
        <f>+C20</f>
        <v>30000000</v>
      </c>
      <c r="D19" s="17"/>
      <c r="E19" s="343" t="s">
        <v>261</v>
      </c>
      <c r="F19" s="344">
        <v>45000000</v>
      </c>
    </row>
    <row r="20" spans="2:6" x14ac:dyDescent="0.35">
      <c r="B20" s="17" t="s">
        <v>29</v>
      </c>
      <c r="C20" s="103">
        <v>30000000</v>
      </c>
      <c r="D20" s="17"/>
      <c r="E20" s="16" t="s">
        <v>32</v>
      </c>
      <c r="F20" s="102">
        <f>+F21+F22</f>
        <v>55000000</v>
      </c>
    </row>
    <row r="21" spans="2:6" x14ac:dyDescent="0.35">
      <c r="B21" s="17"/>
      <c r="C21" s="103"/>
      <c r="D21" s="17"/>
      <c r="E21" s="343" t="s">
        <v>33</v>
      </c>
      <c r="F21" s="344">
        <v>40000000</v>
      </c>
    </row>
    <row r="22" spans="2:6" x14ac:dyDescent="0.35">
      <c r="B22" s="212" t="s">
        <v>31</v>
      </c>
      <c r="C22" s="213">
        <f>+C19+C17+C14+C10+C7</f>
        <v>298431299</v>
      </c>
      <c r="D22" s="17"/>
      <c r="E22" s="343" t="s">
        <v>34</v>
      </c>
      <c r="F22" s="344">
        <v>15000000</v>
      </c>
    </row>
    <row r="23" spans="2:6" ht="5.45" customHeight="1" x14ac:dyDescent="0.35">
      <c r="B23" s="17"/>
      <c r="C23" s="103"/>
      <c r="D23" s="17"/>
      <c r="E23" s="17"/>
      <c r="F23" s="103"/>
    </row>
    <row r="24" spans="2:6" x14ac:dyDescent="0.35">
      <c r="B24" s="16" t="s">
        <v>204</v>
      </c>
      <c r="C24" s="102">
        <f>+C25</f>
        <v>48000000</v>
      </c>
      <c r="D24" s="17"/>
      <c r="E24" s="212" t="s">
        <v>36</v>
      </c>
      <c r="F24" s="213">
        <f>+F20+F16+F9+F7</f>
        <v>680248973</v>
      </c>
    </row>
    <row r="25" spans="2:6" x14ac:dyDescent="0.35">
      <c r="B25" s="17" t="s">
        <v>205</v>
      </c>
      <c r="C25" s="103">
        <v>48000000</v>
      </c>
      <c r="D25" s="17"/>
      <c r="E25" s="17"/>
      <c r="F25" s="103"/>
    </row>
    <row r="26" spans="2:6" x14ac:dyDescent="0.35">
      <c r="B26" s="16" t="s">
        <v>35</v>
      </c>
      <c r="C26" s="102">
        <f>+C27+C28+C29</f>
        <v>206250000</v>
      </c>
      <c r="D26" s="17"/>
      <c r="E26" s="16" t="s">
        <v>38</v>
      </c>
      <c r="F26" s="102">
        <f>+F27</f>
        <v>18000000</v>
      </c>
    </row>
    <row r="27" spans="2:6" x14ac:dyDescent="0.35">
      <c r="B27" s="343" t="s">
        <v>37</v>
      </c>
      <c r="C27" s="344">
        <f>+'5. PPE'!E30</f>
        <v>150000000</v>
      </c>
      <c r="D27" s="17"/>
      <c r="E27" s="17" t="s">
        <v>40</v>
      </c>
      <c r="F27" s="103">
        <v>18000000</v>
      </c>
    </row>
    <row r="28" spans="2:6" x14ac:dyDescent="0.35">
      <c r="B28" s="343" t="s">
        <v>39</v>
      </c>
      <c r="C28" s="344">
        <f>-'5. PPE'!F30</f>
        <v>-3750000</v>
      </c>
      <c r="D28" s="17"/>
      <c r="E28" s="17"/>
      <c r="F28" s="103"/>
    </row>
    <row r="29" spans="2:6" x14ac:dyDescent="0.35">
      <c r="B29" s="343" t="s">
        <v>41</v>
      </c>
      <c r="C29" s="344">
        <f>+'5. PPE'!E25</f>
        <v>60000000</v>
      </c>
      <c r="D29" s="17"/>
      <c r="E29" s="212" t="s">
        <v>42</v>
      </c>
      <c r="F29" s="213">
        <f>+F26</f>
        <v>18000000</v>
      </c>
    </row>
    <row r="30" spans="2:6" x14ac:dyDescent="0.35">
      <c r="B30" s="16" t="s">
        <v>188</v>
      </c>
      <c r="C30" s="102">
        <f>+C31+C32</f>
        <v>426416667</v>
      </c>
      <c r="D30" s="17"/>
      <c r="E30" s="17"/>
      <c r="F30" s="103"/>
    </row>
    <row r="31" spans="2:6" x14ac:dyDescent="0.35">
      <c r="B31" s="343" t="s">
        <v>189</v>
      </c>
      <c r="C31" s="344">
        <v>430000000</v>
      </c>
      <c r="D31" s="17"/>
      <c r="E31" s="212" t="s">
        <v>56</v>
      </c>
      <c r="F31" s="213">
        <f>+F32+F33+F34+F35</f>
        <v>332548993</v>
      </c>
    </row>
    <row r="32" spans="2:6" x14ac:dyDescent="0.35">
      <c r="B32" s="343" t="s">
        <v>268</v>
      </c>
      <c r="C32" s="344">
        <v>-3583333</v>
      </c>
      <c r="D32" s="17"/>
      <c r="E32" s="17" t="s">
        <v>43</v>
      </c>
      <c r="F32" s="103">
        <v>65100000</v>
      </c>
    </row>
    <row r="33" spans="2:10" x14ac:dyDescent="0.35">
      <c r="B33" s="16" t="s">
        <v>38</v>
      </c>
      <c r="C33" s="102">
        <f>+C34</f>
        <v>57000000</v>
      </c>
      <c r="D33" s="17"/>
      <c r="E33" s="17" t="s">
        <v>44</v>
      </c>
      <c r="F33" s="103">
        <v>10000000</v>
      </c>
      <c r="J33" s="206"/>
    </row>
    <row r="34" spans="2:10" ht="13.15" thickBot="1" x14ac:dyDescent="0.4">
      <c r="B34" s="17" t="s">
        <v>46</v>
      </c>
      <c r="C34" s="103">
        <v>57000000</v>
      </c>
      <c r="D34" s="17"/>
      <c r="E34" s="17" t="s">
        <v>45</v>
      </c>
      <c r="F34" s="103">
        <v>40000000</v>
      </c>
    </row>
    <row r="35" spans="2:10" ht="13.15" thickBot="1" x14ac:dyDescent="0.4">
      <c r="B35" s="17"/>
      <c r="C35" s="103"/>
      <c r="D35" s="17"/>
      <c r="E35" s="17" t="s">
        <v>47</v>
      </c>
      <c r="F35" s="103">
        <v>217448993</v>
      </c>
      <c r="H35" s="210">
        <f>+C38-F37</f>
        <v>5300000</v>
      </c>
    </row>
    <row r="36" spans="2:10" x14ac:dyDescent="0.35">
      <c r="B36" s="212" t="s">
        <v>48</v>
      </c>
      <c r="C36" s="213">
        <f>+C26+C30+C33+C24</f>
        <v>737666667</v>
      </c>
      <c r="D36" s="17"/>
      <c r="E36" s="17"/>
      <c r="F36" s="103"/>
      <c r="H36" s="206"/>
    </row>
    <row r="37" spans="2:10" x14ac:dyDescent="0.35">
      <c r="B37" s="17"/>
      <c r="C37" s="103"/>
      <c r="D37" s="17"/>
      <c r="E37" s="212" t="s">
        <v>213</v>
      </c>
      <c r="F37" s="213">
        <f>+F31+F29+F24</f>
        <v>1030797966</v>
      </c>
      <c r="H37" s="206">
        <f>+C38-F37</f>
        <v>5300000</v>
      </c>
    </row>
    <row r="38" spans="2:10" x14ac:dyDescent="0.35">
      <c r="B38" s="212" t="s">
        <v>212</v>
      </c>
      <c r="C38" s="213">
        <f>+C36+C22</f>
        <v>1036097966</v>
      </c>
      <c r="D38" s="16"/>
      <c r="E38" s="17"/>
      <c r="F38" s="103"/>
    </row>
    <row r="39" spans="2:10" x14ac:dyDescent="0.35">
      <c r="B39" s="16"/>
      <c r="C39" s="102"/>
      <c r="D39" s="17"/>
      <c r="E39" s="16" t="s">
        <v>49</v>
      </c>
      <c r="F39" s="102">
        <v>450000000</v>
      </c>
    </row>
    <row r="40" spans="2:10" x14ac:dyDescent="0.35">
      <c r="B40" s="16" t="s">
        <v>214</v>
      </c>
      <c r="C40" s="102">
        <v>900000000</v>
      </c>
      <c r="D40" s="16"/>
      <c r="E40" s="16" t="s">
        <v>210</v>
      </c>
      <c r="F40" s="102">
        <v>345000000</v>
      </c>
    </row>
    <row r="41" spans="2:10" x14ac:dyDescent="0.35">
      <c r="E41" s="16" t="s">
        <v>211</v>
      </c>
      <c r="F41" s="102">
        <v>355000000</v>
      </c>
    </row>
  </sheetData>
  <mergeCells count="2">
    <mergeCell ref="B4:F4"/>
    <mergeCell ref="B2: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9839F-213F-4AAA-9851-8B6A380C65C3}">
  <dimension ref="B1:E37"/>
  <sheetViews>
    <sheetView showGridLines="0" topLeftCell="A17" zoomScale="130" zoomScaleNormal="130" workbookViewId="0">
      <selection activeCell="E37" sqref="E37"/>
    </sheetView>
  </sheetViews>
  <sheetFormatPr baseColWidth="10" defaultColWidth="11.53125" defaultRowHeight="13.5" x14ac:dyDescent="0.35"/>
  <cols>
    <col min="1" max="1" width="1.6640625" style="20" customWidth="1"/>
    <col min="2" max="2" width="93.86328125" style="20" bestFit="1" customWidth="1"/>
    <col min="3" max="3" width="21.53125" style="20" customWidth="1"/>
    <col min="4" max="4" width="22.86328125" style="20" customWidth="1"/>
    <col min="5" max="5" width="23.19921875" style="20" customWidth="1"/>
    <col min="6" max="16384" width="11.53125" style="20"/>
  </cols>
  <sheetData>
    <row r="1" spans="2:5" ht="13.9" thickBot="1" x14ac:dyDescent="0.4"/>
    <row r="2" spans="2:5" x14ac:dyDescent="0.35">
      <c r="B2" s="438" t="s">
        <v>291</v>
      </c>
      <c r="C2" s="439"/>
      <c r="D2" s="439"/>
      <c r="E2" s="440"/>
    </row>
    <row r="3" spans="2:5" x14ac:dyDescent="0.35">
      <c r="B3" s="441"/>
      <c r="C3" s="442"/>
      <c r="D3" s="442"/>
      <c r="E3" s="443"/>
    </row>
    <row r="4" spans="2:5" ht="13.9" thickBot="1" x14ac:dyDescent="0.4">
      <c r="B4" s="444"/>
      <c r="C4" s="445"/>
      <c r="D4" s="445"/>
      <c r="E4" s="446"/>
    </row>
    <row r="5" spans="2:5" ht="15.4" thickBot="1" x14ac:dyDescent="0.45">
      <c r="B5" s="298"/>
      <c r="C5" s="299"/>
      <c r="D5" s="299"/>
      <c r="E5" s="299"/>
    </row>
    <row r="6" spans="2:5" ht="15.4" thickBot="1" x14ac:dyDescent="0.4">
      <c r="B6" s="447" t="s">
        <v>1</v>
      </c>
      <c r="C6" s="300">
        <v>2023</v>
      </c>
      <c r="D6" s="300">
        <v>2022</v>
      </c>
      <c r="E6" s="300">
        <v>2021</v>
      </c>
    </row>
    <row r="7" spans="2:5" ht="15.4" thickBot="1" x14ac:dyDescent="0.4">
      <c r="B7" s="448"/>
      <c r="C7" s="301" t="s">
        <v>277</v>
      </c>
      <c r="D7" s="301" t="s">
        <v>277</v>
      </c>
      <c r="E7" s="301" t="s">
        <v>277</v>
      </c>
    </row>
    <row r="8" spans="2:5" ht="24.6" customHeight="1" thickBot="1" x14ac:dyDescent="0.4">
      <c r="B8" s="302" t="s">
        <v>278</v>
      </c>
      <c r="C8" s="310">
        <f>+BCE!F39</f>
        <v>450000000</v>
      </c>
      <c r="D8" s="310">
        <f>+BCE!F40</f>
        <v>345000000</v>
      </c>
      <c r="E8" s="310">
        <f>+BCE!F41</f>
        <v>355000000</v>
      </c>
    </row>
    <row r="9" spans="2:5" ht="24.6" customHeight="1" thickBot="1" x14ac:dyDescent="0.4">
      <c r="B9" s="302" t="s">
        <v>279</v>
      </c>
      <c r="C9" s="310">
        <f>+BCE!C38</f>
        <v>1036097966</v>
      </c>
      <c r="D9" s="310"/>
      <c r="E9" s="310"/>
    </row>
    <row r="10" spans="2:5" ht="24.6" customHeight="1" thickBot="1" x14ac:dyDescent="0.4">
      <c r="B10" s="302" t="s">
        <v>214</v>
      </c>
      <c r="C10" s="310">
        <f>+BCE!C40</f>
        <v>900000000</v>
      </c>
      <c r="D10" s="310"/>
      <c r="E10" s="310"/>
    </row>
    <row r="11" spans="2:5" ht="15" x14ac:dyDescent="0.4">
      <c r="B11" s="298"/>
      <c r="C11" s="299"/>
      <c r="D11" s="299"/>
      <c r="E11" s="299"/>
    </row>
    <row r="12" spans="2:5" ht="15" x14ac:dyDescent="0.4">
      <c r="B12" s="303" t="s">
        <v>280</v>
      </c>
      <c r="C12" s="299"/>
      <c r="D12" s="299"/>
      <c r="E12" s="299"/>
    </row>
    <row r="13" spans="2:5" ht="15.4" thickBot="1" x14ac:dyDescent="0.45">
      <c r="B13" s="298"/>
      <c r="C13" s="299"/>
      <c r="D13" s="299"/>
      <c r="E13" s="299"/>
    </row>
    <row r="14" spans="2:5" ht="15.4" thickBot="1" x14ac:dyDescent="0.4">
      <c r="B14" s="304" t="s">
        <v>281</v>
      </c>
      <c r="C14" s="305" t="s">
        <v>70</v>
      </c>
      <c r="D14" s="300" t="s">
        <v>287</v>
      </c>
      <c r="E14" s="305" t="s">
        <v>282</v>
      </c>
    </row>
    <row r="15" spans="2:5" x14ac:dyDescent="0.35">
      <c r="B15" s="449" t="s">
        <v>283</v>
      </c>
      <c r="C15" s="451">
        <f>+C8</f>
        <v>450000000</v>
      </c>
      <c r="D15" s="453">
        <v>0.05</v>
      </c>
      <c r="E15" s="469">
        <f>+C15*D15</f>
        <v>22500000</v>
      </c>
    </row>
    <row r="16" spans="2:5" ht="13.9" thickBot="1" x14ac:dyDescent="0.4">
      <c r="B16" s="450"/>
      <c r="C16" s="452"/>
      <c r="D16" s="454"/>
      <c r="E16" s="454"/>
    </row>
    <row r="17" spans="2:5" x14ac:dyDescent="0.35">
      <c r="B17" s="455" t="s">
        <v>279</v>
      </c>
      <c r="C17" s="470">
        <f>+C9</f>
        <v>1036097966</v>
      </c>
      <c r="D17" s="459">
        <v>5.0000000000000001E-3</v>
      </c>
      <c r="E17" s="457"/>
    </row>
    <row r="18" spans="2:5" ht="13.9" thickBot="1" x14ac:dyDescent="0.4">
      <c r="B18" s="456"/>
      <c r="C18" s="471"/>
      <c r="D18" s="458"/>
      <c r="E18" s="458"/>
    </row>
    <row r="19" spans="2:5" x14ac:dyDescent="0.35">
      <c r="B19" s="455" t="s">
        <v>284</v>
      </c>
      <c r="C19" s="457">
        <f>+C10</f>
        <v>900000000</v>
      </c>
      <c r="D19" s="459">
        <v>5.0000000000000001E-3</v>
      </c>
      <c r="E19" s="457"/>
    </row>
    <row r="20" spans="2:5" ht="13.9" thickBot="1" x14ac:dyDescent="0.4">
      <c r="B20" s="456"/>
      <c r="C20" s="458"/>
      <c r="D20" s="458"/>
      <c r="E20" s="458"/>
    </row>
    <row r="21" spans="2:5" ht="15" x14ac:dyDescent="0.4">
      <c r="B21" s="298"/>
      <c r="C21" s="299"/>
      <c r="D21" s="299"/>
      <c r="E21" s="299"/>
    </row>
    <row r="22" spans="2:5" ht="15" x14ac:dyDescent="0.4">
      <c r="B22" s="303" t="s">
        <v>285</v>
      </c>
      <c r="C22" s="299"/>
      <c r="D22" s="299"/>
      <c r="E22" s="299"/>
    </row>
    <row r="23" spans="2:5" ht="15.4" thickBot="1" x14ac:dyDescent="0.45">
      <c r="B23" s="298"/>
      <c r="C23" s="299"/>
      <c r="D23" s="299"/>
      <c r="E23" s="299"/>
    </row>
    <row r="24" spans="2:5" x14ac:dyDescent="0.35">
      <c r="B24" s="460" t="s">
        <v>296</v>
      </c>
      <c r="C24" s="461"/>
      <c r="D24" s="461"/>
      <c r="E24" s="462"/>
    </row>
    <row r="25" spans="2:5" x14ac:dyDescent="0.35">
      <c r="B25" s="463"/>
      <c r="C25" s="464"/>
      <c r="D25" s="464"/>
      <c r="E25" s="465"/>
    </row>
    <row r="26" spans="2:5" x14ac:dyDescent="0.35">
      <c r="B26" s="463"/>
      <c r="C26" s="464"/>
      <c r="D26" s="464"/>
      <c r="E26" s="465"/>
    </row>
    <row r="27" spans="2:5" ht="13.9" thickBot="1" x14ac:dyDescent="0.4">
      <c r="B27" s="466"/>
      <c r="C27" s="467"/>
      <c r="D27" s="467"/>
      <c r="E27" s="468"/>
    </row>
    <row r="28" spans="2:5" ht="15" x14ac:dyDescent="0.4">
      <c r="B28" s="298"/>
      <c r="C28" s="299"/>
      <c r="D28" s="299"/>
      <c r="E28" s="299"/>
    </row>
    <row r="29" spans="2:5" ht="15" x14ac:dyDescent="0.4">
      <c r="B29" s="306" t="s">
        <v>286</v>
      </c>
      <c r="C29" s="299"/>
      <c r="D29" s="299"/>
      <c r="E29" s="299"/>
    </row>
    <row r="30" spans="2:5" ht="15.4" thickBot="1" x14ac:dyDescent="0.45">
      <c r="B30" s="298"/>
      <c r="C30" s="299"/>
      <c r="D30" s="299"/>
      <c r="E30" s="299"/>
    </row>
    <row r="31" spans="2:5" ht="15.4" thickBot="1" x14ac:dyDescent="0.4">
      <c r="B31" s="309" t="s">
        <v>281</v>
      </c>
      <c r="C31" s="300" t="s">
        <v>70</v>
      </c>
      <c r="D31" s="300" t="s">
        <v>287</v>
      </c>
      <c r="E31" s="300" t="s">
        <v>288</v>
      </c>
    </row>
    <row r="32" spans="2:5" ht="24.6" customHeight="1" thickBot="1" x14ac:dyDescent="0.4">
      <c r="B32" s="307" t="s">
        <v>289</v>
      </c>
      <c r="C32" s="308">
        <f>+E15</f>
        <v>22500000</v>
      </c>
      <c r="D32" s="327">
        <v>0.75</v>
      </c>
      <c r="E32" s="308">
        <f>+C32*D32</f>
        <v>16875000</v>
      </c>
    </row>
    <row r="33" spans="2:5" ht="15" x14ac:dyDescent="0.4">
      <c r="B33" s="298"/>
      <c r="C33" s="299"/>
      <c r="D33" s="299"/>
      <c r="E33" s="299"/>
    </row>
    <row r="34" spans="2:5" ht="15" x14ac:dyDescent="0.4">
      <c r="B34" s="306" t="s">
        <v>290</v>
      </c>
      <c r="C34" s="299"/>
      <c r="D34" s="299"/>
      <c r="E34" s="299"/>
    </row>
    <row r="35" spans="2:5" ht="15.4" thickBot="1" x14ac:dyDescent="0.45">
      <c r="B35" s="298"/>
      <c r="C35" s="299"/>
      <c r="D35" s="299"/>
      <c r="E35" s="299"/>
    </row>
    <row r="36" spans="2:5" ht="15.4" thickBot="1" x14ac:dyDescent="0.4">
      <c r="B36" s="309" t="s">
        <v>281</v>
      </c>
      <c r="C36" s="300" t="s">
        <v>70</v>
      </c>
      <c r="D36" s="300" t="s">
        <v>287</v>
      </c>
      <c r="E36" s="300" t="s">
        <v>312</v>
      </c>
    </row>
    <row r="37" spans="2:5" ht="28.25" customHeight="1" thickBot="1" x14ac:dyDescent="0.4">
      <c r="B37" s="307" t="s">
        <v>289</v>
      </c>
      <c r="C37" s="308">
        <f>+C32</f>
        <v>22500000</v>
      </c>
      <c r="D37" s="327">
        <v>0.05</v>
      </c>
      <c r="E37" s="308">
        <f>+C37*D37</f>
        <v>1125000</v>
      </c>
    </row>
  </sheetData>
  <mergeCells count="15">
    <mergeCell ref="B19:B20"/>
    <mergeCell ref="C19:C20"/>
    <mergeCell ref="D19:D20"/>
    <mergeCell ref="B24:E27"/>
    <mergeCell ref="E15:E16"/>
    <mergeCell ref="E17:E18"/>
    <mergeCell ref="E19:E20"/>
    <mergeCell ref="B17:B18"/>
    <mergeCell ref="C17:C18"/>
    <mergeCell ref="D17:D18"/>
    <mergeCell ref="B2:E4"/>
    <mergeCell ref="B6:B7"/>
    <mergeCell ref="B15:B16"/>
    <mergeCell ref="C15:C16"/>
    <mergeCell ref="D15:D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3C3F5-0BB1-456E-891A-F3F238C1A295}">
  <dimension ref="B2:H28"/>
  <sheetViews>
    <sheetView zoomScale="80" zoomScaleNormal="80" workbookViewId="0">
      <pane ySplit="4" topLeftCell="A5" activePane="bottomLeft" state="frozen"/>
      <selection pane="bottomLeft" activeCell="F14" sqref="F14"/>
    </sheetView>
  </sheetViews>
  <sheetFormatPr baseColWidth="10" defaultColWidth="10.86328125" defaultRowHeight="15" x14ac:dyDescent="0.4"/>
  <cols>
    <col min="1" max="1" width="1.53125" style="4" customWidth="1"/>
    <col min="2" max="2" width="7.46484375" style="4" customWidth="1"/>
    <col min="3" max="3" width="30" style="4" bestFit="1" customWidth="1"/>
    <col min="4" max="5" width="19.6640625" style="13" customWidth="1"/>
    <col min="6" max="6" width="15.33203125" style="13" bestFit="1" customWidth="1"/>
    <col min="7" max="8" width="19.6640625" style="13" customWidth="1"/>
    <col min="9" max="16384" width="10.86328125" style="4"/>
  </cols>
  <sheetData>
    <row r="2" spans="2:8" s="6" customFormat="1" x14ac:dyDescent="0.4">
      <c r="B2" s="1"/>
      <c r="C2" s="1"/>
      <c r="D2" s="11"/>
      <c r="E2" s="11"/>
      <c r="F2" s="11"/>
      <c r="G2" s="473" t="s">
        <v>12</v>
      </c>
      <c r="H2" s="473"/>
    </row>
    <row r="3" spans="2:8" s="6" customFormat="1" x14ac:dyDescent="0.4">
      <c r="B3" s="1"/>
      <c r="C3" s="1"/>
      <c r="D3" s="11"/>
      <c r="E3" s="11"/>
      <c r="F3" s="11"/>
      <c r="G3" s="472">
        <v>0.27</v>
      </c>
      <c r="H3" s="473"/>
    </row>
    <row r="4" spans="2:8" s="6" customFormat="1" x14ac:dyDescent="0.4">
      <c r="B4" s="2" t="s">
        <v>6</v>
      </c>
      <c r="C4" s="2" t="s">
        <v>1</v>
      </c>
      <c r="D4" s="12" t="s">
        <v>7</v>
      </c>
      <c r="E4" s="12" t="s">
        <v>8</v>
      </c>
      <c r="F4" s="12" t="s">
        <v>9</v>
      </c>
      <c r="G4" s="12" t="s">
        <v>10</v>
      </c>
      <c r="H4" s="12" t="s">
        <v>11</v>
      </c>
    </row>
    <row r="5" spans="2:8" ht="20.45" customHeight="1" x14ac:dyDescent="0.4">
      <c r="B5" s="322">
        <v>1</v>
      </c>
      <c r="C5" s="322" t="s">
        <v>302</v>
      </c>
      <c r="D5" s="323">
        <v>0</v>
      </c>
      <c r="E5" s="323">
        <v>0</v>
      </c>
      <c r="F5" s="323">
        <f>-'1.'!E13</f>
        <v>87750000</v>
      </c>
      <c r="G5" s="323">
        <f>ROUND(+F5*$G$3,0)</f>
        <v>23692500</v>
      </c>
      <c r="H5" s="323"/>
    </row>
    <row r="6" spans="2:8" ht="20.45" customHeight="1" x14ac:dyDescent="0.4">
      <c r="B6" s="322">
        <v>2</v>
      </c>
      <c r="C6" s="322" t="str">
        <f>+'2.'!F19</f>
        <v>Ingresos Anticipados</v>
      </c>
      <c r="D6" s="323">
        <v>0</v>
      </c>
      <c r="E6" s="323">
        <v>0</v>
      </c>
      <c r="F6" s="323">
        <f>+'2.'!E19</f>
        <v>67500000</v>
      </c>
      <c r="G6" s="323">
        <f>ROUND(+F6*$G$3,0)</f>
        <v>18225000</v>
      </c>
      <c r="H6" s="323"/>
    </row>
    <row r="7" spans="2:8" ht="20.45" customHeight="1" x14ac:dyDescent="0.4">
      <c r="B7" s="322">
        <v>3</v>
      </c>
      <c r="C7" s="322" t="str">
        <f>+'3.'!B26</f>
        <v>Gastos de Organización y Puesta en Marcha</v>
      </c>
      <c r="D7" s="323">
        <v>0</v>
      </c>
      <c r="E7" s="323">
        <f>+'3.'!C28</f>
        <v>31270800</v>
      </c>
      <c r="F7" s="323">
        <f>+E7-D7</f>
        <v>31270800</v>
      </c>
      <c r="G7" s="323">
        <f>ROUND(+F7*$G$3,0)</f>
        <v>8443116</v>
      </c>
      <c r="H7" s="323"/>
    </row>
    <row r="8" spans="2:8" ht="20.45" customHeight="1" x14ac:dyDescent="0.4">
      <c r="B8" s="322">
        <v>4</v>
      </c>
      <c r="C8" s="322" t="str">
        <f>+'4. Provisiones'!B9</f>
        <v>PIAS</v>
      </c>
      <c r="D8" s="323">
        <f>+'4. Provisiones'!D9</f>
        <v>40000000</v>
      </c>
      <c r="E8" s="323">
        <f>+D8</f>
        <v>40000000</v>
      </c>
      <c r="F8" s="349"/>
      <c r="G8" s="349"/>
      <c r="H8" s="349"/>
    </row>
    <row r="9" spans="2:8" ht="20.45" customHeight="1" x14ac:dyDescent="0.4">
      <c r="B9" s="322">
        <v>5</v>
      </c>
      <c r="C9" s="322" t="str">
        <f>+'4. Provisiones'!B29</f>
        <v xml:space="preserve">Prov. Vacaciones </v>
      </c>
      <c r="D9" s="323">
        <f>+'4. Provisiones'!K26</f>
        <v>11835853</v>
      </c>
      <c r="E9" s="323">
        <v>0</v>
      </c>
      <c r="F9" s="323">
        <f>+D9</f>
        <v>11835853</v>
      </c>
      <c r="G9" s="323">
        <f>ROUND(+F9*$G$3,0)</f>
        <v>3195680</v>
      </c>
      <c r="H9" s="323"/>
    </row>
    <row r="10" spans="2:8" ht="20.45" customHeight="1" x14ac:dyDescent="0.4">
      <c r="B10" s="322">
        <v>6</v>
      </c>
      <c r="C10" s="322" t="str">
        <f>+'4. Provisiones'!B37</f>
        <v>Prov. Contrato de Arriendo</v>
      </c>
      <c r="D10" s="323">
        <f>+'4. Provisiones'!E37</f>
        <v>8000000</v>
      </c>
      <c r="E10" s="323">
        <f>+D10</f>
        <v>8000000</v>
      </c>
      <c r="F10" s="349"/>
      <c r="G10" s="349"/>
      <c r="H10" s="349"/>
    </row>
    <row r="11" spans="2:8" ht="20.45" customHeight="1" x14ac:dyDescent="0.4">
      <c r="B11" s="322">
        <v>7</v>
      </c>
      <c r="C11" s="322" t="str">
        <f>+BCE!E22</f>
        <v>Provisión Gratificaciones</v>
      </c>
      <c r="D11" s="323">
        <f>+BCE!F22</f>
        <v>15000000</v>
      </c>
      <c r="E11" s="323">
        <v>0</v>
      </c>
      <c r="F11" s="323">
        <f>+D11</f>
        <v>15000000</v>
      </c>
      <c r="G11" s="323">
        <f>ROUND(+F11*$G$3,0)</f>
        <v>4050000</v>
      </c>
      <c r="H11" s="323"/>
    </row>
    <row r="12" spans="2:8" ht="20.45" customHeight="1" x14ac:dyDescent="0.4">
      <c r="B12" s="322">
        <v>8</v>
      </c>
      <c r="C12" s="322" t="str">
        <f>+'Asientos Ajustes'!D23</f>
        <v>Provisión por Contrato Oneroso</v>
      </c>
      <c r="D12" s="323">
        <f>+'Asientos Ajustes'!G23</f>
        <v>31000000</v>
      </c>
      <c r="E12" s="323">
        <v>0</v>
      </c>
      <c r="F12" s="323">
        <f>+D12</f>
        <v>31000000</v>
      </c>
      <c r="G12" s="323">
        <f>ROUND(+F12*$G$3,0)</f>
        <v>8370000</v>
      </c>
      <c r="H12" s="323"/>
    </row>
    <row r="13" spans="2:8" ht="20.45" customHeight="1" x14ac:dyDescent="0.4">
      <c r="B13" s="322">
        <v>9</v>
      </c>
      <c r="C13" s="322" t="str">
        <f>+'4. Provisiones'!B129</f>
        <v>Provisión Gastos Generales</v>
      </c>
      <c r="D13" s="323">
        <f>+'4. Provisiones'!E129</f>
        <v>13351609</v>
      </c>
      <c r="E13" s="323">
        <f>+D13</f>
        <v>13351609</v>
      </c>
      <c r="F13" s="349"/>
      <c r="G13" s="349"/>
      <c r="H13" s="349"/>
    </row>
    <row r="14" spans="2:8" ht="20.45" customHeight="1" x14ac:dyDescent="0.4">
      <c r="B14" s="322">
        <v>10</v>
      </c>
      <c r="C14" s="322" t="str">
        <f>+'4. Provisiones'!B146</f>
        <v>Provisión Tipo Comercial</v>
      </c>
      <c r="D14" s="323">
        <f>+'4. Provisiones'!E146</f>
        <v>40023333</v>
      </c>
      <c r="E14" s="323">
        <v>0</v>
      </c>
      <c r="F14" s="323">
        <f>+D14</f>
        <v>40023333</v>
      </c>
      <c r="G14" s="323">
        <f>ROUND(+F14*$G$3,0)</f>
        <v>10806300</v>
      </c>
      <c r="H14" s="323"/>
    </row>
    <row r="15" spans="2:8" ht="20.45" customHeight="1" x14ac:dyDescent="0.4">
      <c r="B15" s="322">
        <v>11</v>
      </c>
      <c r="C15" s="322" t="str">
        <f>+'Asientos Ajustes'!D47</f>
        <v>Provisión Medioambiental</v>
      </c>
      <c r="D15" s="323">
        <f>+'Asientos Ajustes'!G47</f>
        <v>45000000</v>
      </c>
      <c r="E15" s="323">
        <v>0</v>
      </c>
      <c r="F15" s="323">
        <f>+D15</f>
        <v>45000000</v>
      </c>
      <c r="G15" s="323">
        <f>ROUND(+F15*$G$3,0)</f>
        <v>12150000</v>
      </c>
      <c r="H15" s="323"/>
    </row>
    <row r="16" spans="2:8" ht="20.45" customHeight="1" x14ac:dyDescent="0.4">
      <c r="B16" s="322">
        <v>12</v>
      </c>
      <c r="C16" s="322" t="str">
        <f>+BCE!B29</f>
        <v>Terrenos</v>
      </c>
      <c r="D16" s="323">
        <f>+'5. PPE'!D46</f>
        <v>20000000</v>
      </c>
      <c r="E16" s="323">
        <f>+'5. PPE'!E10</f>
        <v>69000000</v>
      </c>
      <c r="F16" s="323">
        <f>+E16-D16</f>
        <v>49000000</v>
      </c>
      <c r="G16" s="323">
        <f>ROUND(+F16*$G$3,0)</f>
        <v>13230000</v>
      </c>
      <c r="H16" s="323"/>
    </row>
    <row r="17" spans="2:8" ht="20.45" customHeight="1" x14ac:dyDescent="0.4">
      <c r="B17" s="322">
        <v>13</v>
      </c>
      <c r="C17" s="322" t="str">
        <f>+BCE!B27</f>
        <v>Edificios</v>
      </c>
      <c r="D17" s="323">
        <f>+'5. PPE'!D53</f>
        <v>200000000</v>
      </c>
      <c r="E17" s="323">
        <f>+'5. PPE'!G15</f>
        <v>161718750</v>
      </c>
      <c r="F17" s="323">
        <f>+D17-E17</f>
        <v>38281250</v>
      </c>
      <c r="G17" s="323"/>
      <c r="H17" s="323">
        <f>ROUND(+F17*$G$3,0)</f>
        <v>10335938</v>
      </c>
    </row>
    <row r="18" spans="2:8" ht="20.45" customHeight="1" x14ac:dyDescent="0.4">
      <c r="B18" s="322">
        <v>14</v>
      </c>
      <c r="C18" s="322" t="str">
        <f>+'6. Leasing'!C80</f>
        <v>Activo por derechos de uso</v>
      </c>
      <c r="D18" s="323">
        <f>+'6. Leasing'!H85</f>
        <v>162260</v>
      </c>
      <c r="E18" s="323">
        <v>0</v>
      </c>
      <c r="F18" s="323">
        <f>+D18</f>
        <v>162260</v>
      </c>
      <c r="G18" s="323"/>
      <c r="H18" s="323">
        <f>ROUND(+F18*$G$3,0)</f>
        <v>43810</v>
      </c>
    </row>
    <row r="19" spans="2:8" ht="20.45" customHeight="1" x14ac:dyDescent="0.4">
      <c r="B19" s="322">
        <v>15</v>
      </c>
      <c r="C19" s="322" t="str">
        <f>+BCE!B11</f>
        <v>Forward</v>
      </c>
      <c r="D19" s="323">
        <f>+'7. Forward'!F19</f>
        <v>70000000</v>
      </c>
      <c r="E19" s="323">
        <f>+'7. Forward'!F25</f>
        <v>70000000</v>
      </c>
      <c r="F19" s="349"/>
      <c r="G19" s="349"/>
      <c r="H19" s="349"/>
    </row>
    <row r="20" spans="2:8" ht="20.45" customHeight="1" x14ac:dyDescent="0.4">
      <c r="B20" s="322">
        <v>16</v>
      </c>
      <c r="C20" s="322" t="str">
        <f>+BCE!B16</f>
        <v>Deterioro Cuentas por Cobrar</v>
      </c>
      <c r="D20" s="323">
        <f>+'8. Deterioro'!I29</f>
        <v>18470200</v>
      </c>
      <c r="E20" s="323">
        <f>+'8. Deterioro'!G15</f>
        <v>32350000</v>
      </c>
      <c r="F20" s="323">
        <f>+E20-D20</f>
        <v>13879800</v>
      </c>
      <c r="G20" s="323"/>
      <c r="H20" s="323">
        <f>ROUND(+F20*$G$3,0)</f>
        <v>3747546</v>
      </c>
    </row>
    <row r="21" spans="2:8" ht="20.45" customHeight="1" x14ac:dyDescent="0.4">
      <c r="B21" s="322">
        <v>17</v>
      </c>
      <c r="C21" s="322" t="str">
        <f>+BCE!B12</f>
        <v>Acciones CCU</v>
      </c>
      <c r="D21" s="323">
        <f>+'9. Acciones'!E5</f>
        <v>21000000</v>
      </c>
      <c r="E21" s="323">
        <f>+'9. Acciones'!D10+'9. Acciones'!F21</f>
        <v>17250000</v>
      </c>
      <c r="F21" s="323">
        <f>+D21-E21</f>
        <v>3750000</v>
      </c>
      <c r="G21" s="323"/>
      <c r="H21" s="323">
        <f>ROUND(+F21*$G$3,0)</f>
        <v>1012500</v>
      </c>
    </row>
    <row r="22" spans="2:8" ht="20.45" customHeight="1" x14ac:dyDescent="0.4">
      <c r="B22" s="322">
        <v>18</v>
      </c>
      <c r="C22" s="322" t="str">
        <f>+BCE!B13</f>
        <v xml:space="preserve">Acciones Lan </v>
      </c>
      <c r="D22" s="323">
        <f>+'9. Acciones'!E6</f>
        <v>20000000</v>
      </c>
      <c r="E22" s="323">
        <f>+'9. Acciones'!D11+'9. Acciones'!F33</f>
        <v>27025000</v>
      </c>
      <c r="F22" s="323">
        <f>+E22-D22</f>
        <v>7025000</v>
      </c>
      <c r="G22" s="323">
        <f>ROUND(+F22*$G$3,0)</f>
        <v>1896750</v>
      </c>
      <c r="H22" s="323"/>
    </row>
    <row r="23" spans="2:8" ht="20.45" customHeight="1" x14ac:dyDescent="0.4">
      <c r="B23" s="322">
        <v>19</v>
      </c>
      <c r="C23" s="322" t="str">
        <f>+BCE!B18</f>
        <v>Existencias</v>
      </c>
      <c r="D23" s="323">
        <f>+BCE!C18</f>
        <v>56641299</v>
      </c>
      <c r="E23" s="323">
        <f>+'10.Existencias'!I20</f>
        <v>65056000</v>
      </c>
      <c r="F23" s="323">
        <f>+E23-D23</f>
        <v>8414701</v>
      </c>
      <c r="G23" s="323"/>
      <c r="H23" s="323">
        <f>ROUND(+F23*$G$3,0)</f>
        <v>2271969</v>
      </c>
    </row>
    <row r="24" spans="2:8" x14ac:dyDescent="0.4">
      <c r="B24" s="324"/>
      <c r="C24" s="325"/>
      <c r="D24" s="325"/>
      <c r="E24" s="325"/>
      <c r="F24" s="325"/>
      <c r="G24" s="326">
        <f>SUM(G5:G23)</f>
        <v>104059346</v>
      </c>
      <c r="H24" s="326">
        <f>SUM(H5:H23)</f>
        <v>17411763</v>
      </c>
    </row>
    <row r="25" spans="2:8" ht="15.4" thickBot="1" x14ac:dyDescent="0.45"/>
    <row r="26" spans="2:8" ht="15.4" thickBot="1" x14ac:dyDescent="0.45">
      <c r="E26" s="474" t="s">
        <v>292</v>
      </c>
      <c r="F26" s="475"/>
      <c r="G26" s="430">
        <f>+BCE!C34</f>
        <v>57000000</v>
      </c>
      <c r="H26" s="430">
        <f>+BCE!F27</f>
        <v>18000000</v>
      </c>
    </row>
    <row r="27" spans="2:8" ht="15.4" thickBot="1" x14ac:dyDescent="0.45"/>
    <row r="28" spans="2:8" ht="15.4" thickBot="1" x14ac:dyDescent="0.45">
      <c r="E28" s="474" t="s">
        <v>355</v>
      </c>
      <c r="F28" s="475"/>
      <c r="G28" s="430">
        <f>+G24-G26</f>
        <v>47059346</v>
      </c>
      <c r="H28" s="430">
        <f>+H24-H26</f>
        <v>-588237</v>
      </c>
    </row>
  </sheetData>
  <mergeCells count="4">
    <mergeCell ref="G3:H3"/>
    <mergeCell ref="G2:H2"/>
    <mergeCell ref="E26:F26"/>
    <mergeCell ref="E28:F28"/>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5080-9E85-4AA5-BD30-AED3C53030A6}">
  <dimension ref="B1:G79"/>
  <sheetViews>
    <sheetView tabSelected="1" topLeftCell="A51" zoomScale="150" zoomScaleNormal="150" workbookViewId="0">
      <selection activeCell="C64" sqref="C64:E65"/>
    </sheetView>
  </sheetViews>
  <sheetFormatPr baseColWidth="10" defaultColWidth="10.86328125" defaultRowHeight="15" x14ac:dyDescent="0.4"/>
  <cols>
    <col min="1" max="1" width="3.19921875" style="3" customWidth="1"/>
    <col min="2" max="2" width="11.796875" style="3" customWidth="1"/>
    <col min="3" max="3" width="25.796875" style="3" customWidth="1"/>
    <col min="4" max="4" width="11.46484375" style="3" customWidth="1"/>
    <col min="5" max="5" width="24.86328125" style="3" customWidth="1"/>
    <col min="6" max="7" width="19.6640625" style="202" customWidth="1"/>
    <col min="8" max="16384" width="10.86328125" style="3"/>
  </cols>
  <sheetData>
    <row r="1" spans="2:7" ht="15.4" thickBot="1" x14ac:dyDescent="0.45"/>
    <row r="2" spans="2:7" ht="15.4" thickBot="1" x14ac:dyDescent="0.45">
      <c r="B2" s="197" t="s">
        <v>2</v>
      </c>
      <c r="C2" s="476" t="s">
        <v>1</v>
      </c>
      <c r="D2" s="477"/>
      <c r="E2" s="477"/>
      <c r="F2" s="203" t="s">
        <v>3</v>
      </c>
      <c r="G2" s="204" t="s">
        <v>4</v>
      </c>
    </row>
    <row r="3" spans="2:7" x14ac:dyDescent="0.4">
      <c r="B3" s="338" t="s">
        <v>68</v>
      </c>
      <c r="C3" s="339" t="s">
        <v>5</v>
      </c>
      <c r="D3" s="340">
        <v>1</v>
      </c>
      <c r="E3" s="340" t="s">
        <v>5</v>
      </c>
      <c r="F3" s="341"/>
      <c r="G3" s="342"/>
    </row>
    <row r="4" spans="2:7" x14ac:dyDescent="0.4">
      <c r="B4" s="10" t="s">
        <v>265</v>
      </c>
      <c r="C4" s="10" t="str">
        <f>+BCE!E11</f>
        <v xml:space="preserve">Prov. Vacaciones </v>
      </c>
      <c r="F4" s="8">
        <v>5300000</v>
      </c>
      <c r="G4" s="9"/>
    </row>
    <row r="5" spans="2:7" x14ac:dyDescent="0.4">
      <c r="B5" s="10" t="s">
        <v>306</v>
      </c>
      <c r="C5" s="10"/>
      <c r="D5" s="3" t="s">
        <v>307</v>
      </c>
      <c r="F5" s="8"/>
      <c r="G5" s="9">
        <f>+F4</f>
        <v>5300000</v>
      </c>
    </row>
    <row r="6" spans="2:7" x14ac:dyDescent="0.4">
      <c r="B6" s="10"/>
      <c r="C6" s="10" t="s">
        <v>308</v>
      </c>
      <c r="F6" s="8"/>
      <c r="G6" s="9"/>
    </row>
    <row r="7" spans="2:7" x14ac:dyDescent="0.4">
      <c r="B7" s="10"/>
      <c r="C7" s="478" t="s">
        <v>309</v>
      </c>
      <c r="D7" s="479"/>
      <c r="E7" s="480"/>
      <c r="F7" s="8"/>
      <c r="G7" s="9"/>
    </row>
    <row r="8" spans="2:7" ht="15.4" thickBot="1" x14ac:dyDescent="0.45">
      <c r="B8" s="198"/>
      <c r="C8" s="481"/>
      <c r="D8" s="482"/>
      <c r="E8" s="483"/>
      <c r="F8" s="200"/>
      <c r="G8" s="201"/>
    </row>
    <row r="9" spans="2:7" x14ac:dyDescent="0.4">
      <c r="B9" s="338" t="s">
        <v>68</v>
      </c>
      <c r="C9" s="339" t="s">
        <v>5</v>
      </c>
      <c r="D9" s="340">
        <v>2</v>
      </c>
      <c r="E9" s="340" t="s">
        <v>5</v>
      </c>
      <c r="F9" s="341"/>
      <c r="G9" s="342"/>
    </row>
    <row r="10" spans="2:7" x14ac:dyDescent="0.4">
      <c r="B10" s="10" t="s">
        <v>306</v>
      </c>
      <c r="C10" s="10" t="s">
        <v>310</v>
      </c>
      <c r="F10" s="8">
        <f>+'4. Provisiones'!F29</f>
        <v>10335853</v>
      </c>
      <c r="G10" s="9"/>
    </row>
    <row r="11" spans="2:7" x14ac:dyDescent="0.4">
      <c r="B11" s="10" t="s">
        <v>265</v>
      </c>
      <c r="C11" s="205"/>
      <c r="D11" s="121" t="str">
        <f>+C4</f>
        <v xml:space="preserve">Prov. Vacaciones </v>
      </c>
      <c r="E11" s="121"/>
      <c r="F11" s="8"/>
      <c r="G11" s="9">
        <f>+F10</f>
        <v>10335853</v>
      </c>
    </row>
    <row r="12" spans="2:7" x14ac:dyDescent="0.4">
      <c r="B12" s="10"/>
      <c r="C12" s="14" t="s">
        <v>311</v>
      </c>
      <c r="D12" s="121"/>
      <c r="E12" s="121"/>
      <c r="F12" s="8"/>
      <c r="G12" s="9"/>
    </row>
    <row r="13" spans="2:7" x14ac:dyDescent="0.4">
      <c r="B13" s="10"/>
      <c r="C13" s="478" t="s">
        <v>309</v>
      </c>
      <c r="D13" s="479"/>
      <c r="E13" s="480"/>
      <c r="F13" s="8"/>
      <c r="G13" s="9"/>
    </row>
    <row r="14" spans="2:7" ht="15.4" thickBot="1" x14ac:dyDescent="0.45">
      <c r="B14" s="198"/>
      <c r="C14" s="481"/>
      <c r="D14" s="482"/>
      <c r="E14" s="483"/>
      <c r="F14" s="200"/>
      <c r="G14" s="201"/>
    </row>
    <row r="15" spans="2:7" x14ac:dyDescent="0.4">
      <c r="B15" s="338" t="s">
        <v>68</v>
      </c>
      <c r="C15" s="339" t="s">
        <v>5</v>
      </c>
      <c r="D15" s="340">
        <v>3</v>
      </c>
      <c r="E15" s="340" t="s">
        <v>5</v>
      </c>
      <c r="F15" s="341"/>
      <c r="G15" s="342"/>
    </row>
    <row r="16" spans="2:7" x14ac:dyDescent="0.4">
      <c r="B16" s="10" t="s">
        <v>265</v>
      </c>
      <c r="C16" s="14" t="str">
        <f>+BCE!E17</f>
        <v>Provisión Reestructuración</v>
      </c>
      <c r="D16" s="121"/>
      <c r="E16" s="121"/>
      <c r="F16" s="8">
        <f>+BCE!F17</f>
        <v>35000000</v>
      </c>
      <c r="G16" s="9"/>
    </row>
    <row r="17" spans="2:7" x14ac:dyDescent="0.4">
      <c r="B17" s="10" t="s">
        <v>306</v>
      </c>
      <c r="C17" s="205"/>
      <c r="D17" s="350" t="s">
        <v>314</v>
      </c>
      <c r="E17" s="121"/>
      <c r="F17" s="8"/>
      <c r="G17" s="9">
        <f>+F16</f>
        <v>35000000</v>
      </c>
    </row>
    <row r="18" spans="2:7" x14ac:dyDescent="0.4">
      <c r="B18" s="10"/>
      <c r="C18" s="10" t="s">
        <v>315</v>
      </c>
      <c r="F18" s="8"/>
      <c r="G18" s="9"/>
    </row>
    <row r="19" spans="2:7" x14ac:dyDescent="0.4">
      <c r="B19" s="10"/>
      <c r="C19" s="478" t="s">
        <v>316</v>
      </c>
      <c r="D19" s="479"/>
      <c r="E19" s="480"/>
      <c r="F19" s="8"/>
      <c r="G19" s="9"/>
    </row>
    <row r="20" spans="2:7" ht="15.4" thickBot="1" x14ac:dyDescent="0.45">
      <c r="B20" s="198"/>
      <c r="C20" s="481"/>
      <c r="D20" s="482"/>
      <c r="E20" s="483"/>
      <c r="F20" s="200"/>
      <c r="G20" s="201"/>
    </row>
    <row r="21" spans="2:7" x14ac:dyDescent="0.4">
      <c r="B21" s="338" t="s">
        <v>68</v>
      </c>
      <c r="C21" s="339" t="s">
        <v>5</v>
      </c>
      <c r="D21" s="340">
        <v>4</v>
      </c>
      <c r="E21" s="340" t="s">
        <v>5</v>
      </c>
      <c r="F21" s="341"/>
      <c r="G21" s="342"/>
    </row>
    <row r="22" spans="2:7" x14ac:dyDescent="0.4">
      <c r="B22" s="10" t="s">
        <v>266</v>
      </c>
      <c r="C22" s="10" t="s">
        <v>319</v>
      </c>
      <c r="F22" s="8">
        <f>+'4. Provisiones'!F85</f>
        <v>31000000</v>
      </c>
      <c r="G22" s="9"/>
    </row>
    <row r="23" spans="2:7" x14ac:dyDescent="0.4">
      <c r="B23" s="10" t="s">
        <v>265</v>
      </c>
      <c r="C23" s="205"/>
      <c r="D23" s="121" t="str">
        <f>+'4. Provisiones'!B85</f>
        <v>Provisión por Contrato Oneroso</v>
      </c>
      <c r="E23" s="121"/>
      <c r="F23" s="8"/>
      <c r="G23" s="9">
        <f>+F22</f>
        <v>31000000</v>
      </c>
    </row>
    <row r="24" spans="2:7" x14ac:dyDescent="0.4">
      <c r="B24" s="10"/>
      <c r="C24" s="10" t="s">
        <v>320</v>
      </c>
      <c r="F24" s="8"/>
      <c r="G24" s="9"/>
    </row>
    <row r="25" spans="2:7" x14ac:dyDescent="0.4">
      <c r="B25" s="10"/>
      <c r="C25" s="478" t="s">
        <v>316</v>
      </c>
      <c r="D25" s="479"/>
      <c r="E25" s="480"/>
      <c r="F25" s="8"/>
      <c r="G25" s="9"/>
    </row>
    <row r="26" spans="2:7" ht="15.4" thickBot="1" x14ac:dyDescent="0.45">
      <c r="B26" s="198"/>
      <c r="C26" s="481"/>
      <c r="D26" s="482"/>
      <c r="E26" s="483"/>
      <c r="F26" s="200"/>
      <c r="G26" s="201"/>
    </row>
    <row r="27" spans="2:7" x14ac:dyDescent="0.4">
      <c r="B27" s="338" t="s">
        <v>68</v>
      </c>
      <c r="C27" s="339" t="s">
        <v>5</v>
      </c>
      <c r="D27" s="340">
        <v>5</v>
      </c>
      <c r="E27" s="340" t="s">
        <v>5</v>
      </c>
      <c r="F27" s="341"/>
      <c r="G27" s="342"/>
    </row>
    <row r="28" spans="2:7" x14ac:dyDescent="0.4">
      <c r="B28" s="10" t="s">
        <v>266</v>
      </c>
      <c r="C28" s="10" t="s">
        <v>321</v>
      </c>
      <c r="F28" s="8">
        <f>+'4. Provisiones'!F102</f>
        <v>30000000</v>
      </c>
      <c r="G28" s="9"/>
    </row>
    <row r="29" spans="2:7" x14ac:dyDescent="0.4">
      <c r="B29" s="10" t="s">
        <v>265</v>
      </c>
      <c r="C29" s="10"/>
      <c r="D29" s="3" t="str">
        <f>+BCE!E18</f>
        <v>Provisión Juicios</v>
      </c>
      <c r="F29" s="8"/>
      <c r="G29" s="9">
        <f>+F28</f>
        <v>30000000</v>
      </c>
    </row>
    <row r="30" spans="2:7" x14ac:dyDescent="0.4">
      <c r="B30" s="10"/>
      <c r="C30" s="10" t="s">
        <v>322</v>
      </c>
      <c r="F30" s="8"/>
      <c r="G30" s="9"/>
    </row>
    <row r="31" spans="2:7" x14ac:dyDescent="0.4">
      <c r="B31" s="10"/>
      <c r="C31" s="478" t="s">
        <v>316</v>
      </c>
      <c r="D31" s="479"/>
      <c r="E31" s="480"/>
      <c r="F31" s="8"/>
      <c r="G31" s="9"/>
    </row>
    <row r="32" spans="2:7" ht="15.4" thickBot="1" x14ac:dyDescent="0.45">
      <c r="B32" s="198"/>
      <c r="C32" s="481"/>
      <c r="D32" s="482"/>
      <c r="E32" s="483"/>
      <c r="F32" s="200"/>
      <c r="G32" s="201"/>
    </row>
    <row r="33" spans="2:7" x14ac:dyDescent="0.4">
      <c r="B33" s="338" t="s">
        <v>68</v>
      </c>
      <c r="C33" s="339" t="s">
        <v>5</v>
      </c>
      <c r="D33" s="340">
        <v>6</v>
      </c>
      <c r="E33" s="340" t="s">
        <v>5</v>
      </c>
      <c r="F33" s="341"/>
      <c r="G33" s="342"/>
    </row>
    <row r="34" spans="2:7" x14ac:dyDescent="0.4">
      <c r="B34" s="10" t="s">
        <v>266</v>
      </c>
      <c r="C34" s="10" t="s">
        <v>325</v>
      </c>
      <c r="F34" s="8">
        <f>+'4. Provisiones'!F129</f>
        <v>13351609</v>
      </c>
      <c r="G34" s="9"/>
    </row>
    <row r="35" spans="2:7" x14ac:dyDescent="0.4">
      <c r="B35" s="10" t="s">
        <v>265</v>
      </c>
      <c r="C35" s="205"/>
      <c r="D35" s="121" t="str">
        <f>+'4. Provisiones'!B129</f>
        <v>Provisión Gastos Generales</v>
      </c>
      <c r="E35" s="121"/>
      <c r="F35" s="8"/>
      <c r="G35" s="9">
        <f>+F34</f>
        <v>13351609</v>
      </c>
    </row>
    <row r="36" spans="2:7" x14ac:dyDescent="0.4">
      <c r="B36" s="10"/>
      <c r="C36" s="10" t="s">
        <v>326</v>
      </c>
      <c r="F36" s="8"/>
      <c r="G36" s="9"/>
    </row>
    <row r="37" spans="2:7" x14ac:dyDescent="0.4">
      <c r="B37" s="10"/>
      <c r="C37" s="478" t="s">
        <v>309</v>
      </c>
      <c r="D37" s="479"/>
      <c r="E37" s="480"/>
      <c r="F37" s="8"/>
      <c r="G37" s="9"/>
    </row>
    <row r="38" spans="2:7" ht="15.4" thickBot="1" x14ac:dyDescent="0.45">
      <c r="B38" s="198"/>
      <c r="C38" s="481"/>
      <c r="D38" s="482"/>
      <c r="E38" s="483"/>
      <c r="F38" s="200"/>
      <c r="G38" s="201"/>
    </row>
    <row r="39" spans="2:7" x14ac:dyDescent="0.4">
      <c r="B39" s="338" t="s">
        <v>68</v>
      </c>
      <c r="C39" s="339" t="s">
        <v>5</v>
      </c>
      <c r="D39" s="340">
        <v>7</v>
      </c>
      <c r="E39" s="340" t="s">
        <v>5</v>
      </c>
      <c r="F39" s="341"/>
      <c r="G39" s="342"/>
    </row>
    <row r="40" spans="2:7" x14ac:dyDescent="0.4">
      <c r="B40" s="10" t="s">
        <v>266</v>
      </c>
      <c r="C40" s="10" t="s">
        <v>328</v>
      </c>
      <c r="F40" s="8">
        <f>+'4. Provisiones'!F146</f>
        <v>40023333</v>
      </c>
      <c r="G40" s="9"/>
    </row>
    <row r="41" spans="2:7" x14ac:dyDescent="0.4">
      <c r="B41" s="10" t="s">
        <v>265</v>
      </c>
      <c r="C41" s="10"/>
      <c r="D41" s="3" t="str">
        <f>+'4. Provisiones'!B146</f>
        <v>Provisión Tipo Comercial</v>
      </c>
      <c r="F41" s="8"/>
      <c r="G41" s="9">
        <f>+F40</f>
        <v>40023333</v>
      </c>
    </row>
    <row r="42" spans="2:7" x14ac:dyDescent="0.4">
      <c r="B42" s="10"/>
      <c r="C42" s="10" t="s">
        <v>329</v>
      </c>
      <c r="F42" s="8"/>
      <c r="G42" s="9"/>
    </row>
    <row r="43" spans="2:7" x14ac:dyDescent="0.4">
      <c r="B43" s="10"/>
      <c r="C43" s="478" t="s">
        <v>316</v>
      </c>
      <c r="D43" s="479"/>
      <c r="E43" s="480"/>
      <c r="F43" s="8"/>
      <c r="G43" s="9"/>
    </row>
    <row r="44" spans="2:7" ht="15.4" thickBot="1" x14ac:dyDescent="0.45">
      <c r="B44" s="198"/>
      <c r="C44" s="481"/>
      <c r="D44" s="482"/>
      <c r="E44" s="483"/>
      <c r="F44" s="200"/>
      <c r="G44" s="201"/>
    </row>
    <row r="45" spans="2:7" x14ac:dyDescent="0.4">
      <c r="B45" s="338" t="s">
        <v>68</v>
      </c>
      <c r="C45" s="339" t="s">
        <v>5</v>
      </c>
      <c r="D45" s="340">
        <v>8</v>
      </c>
      <c r="E45" s="340" t="s">
        <v>5</v>
      </c>
      <c r="F45" s="341"/>
      <c r="G45" s="342"/>
    </row>
    <row r="46" spans="2:7" x14ac:dyDescent="0.4">
      <c r="B46" s="10" t="s">
        <v>265</v>
      </c>
      <c r="C46" s="10" t="str">
        <f>+BCE!E19</f>
        <v>Provisión Catastrofe</v>
      </c>
      <c r="F46" s="8">
        <f>+BCE!F19</f>
        <v>45000000</v>
      </c>
      <c r="G46" s="9"/>
    </row>
    <row r="47" spans="2:7" x14ac:dyDescent="0.4">
      <c r="B47" s="10" t="s">
        <v>265</v>
      </c>
      <c r="C47" s="205"/>
      <c r="D47" s="121" t="s">
        <v>330</v>
      </c>
      <c r="E47" s="121"/>
      <c r="F47" s="8"/>
      <c r="G47" s="9">
        <f>+F46</f>
        <v>45000000</v>
      </c>
    </row>
    <row r="48" spans="2:7" ht="15.4" thickBot="1" x14ac:dyDescent="0.45">
      <c r="B48" s="198"/>
      <c r="C48" s="198" t="s">
        <v>331</v>
      </c>
      <c r="D48" s="199"/>
      <c r="E48" s="199"/>
      <c r="F48" s="200"/>
      <c r="G48" s="201"/>
    </row>
    <row r="49" spans="2:7" x14ac:dyDescent="0.4">
      <c r="B49" s="338" t="s">
        <v>68</v>
      </c>
      <c r="C49" s="339" t="s">
        <v>5</v>
      </c>
      <c r="D49" s="340">
        <v>9</v>
      </c>
      <c r="E49" s="340" t="s">
        <v>5</v>
      </c>
      <c r="F49" s="341"/>
      <c r="G49" s="342"/>
    </row>
    <row r="50" spans="2:7" x14ac:dyDescent="0.4">
      <c r="B50" s="10" t="s">
        <v>266</v>
      </c>
      <c r="C50" s="10" t="s">
        <v>333</v>
      </c>
      <c r="F50" s="8">
        <f>-'5. PPE'!E46</f>
        <v>40000000</v>
      </c>
      <c r="G50" s="9"/>
    </row>
    <row r="51" spans="2:7" x14ac:dyDescent="0.4">
      <c r="B51" s="10" t="s">
        <v>264</v>
      </c>
      <c r="C51" s="10"/>
      <c r="D51" s="3" t="str">
        <f>+BCE!B29</f>
        <v>Terrenos</v>
      </c>
      <c r="F51" s="8"/>
      <c r="G51" s="9">
        <f>+F50</f>
        <v>40000000</v>
      </c>
    </row>
    <row r="52" spans="2:7" ht="15.4" thickBot="1" x14ac:dyDescent="0.45">
      <c r="B52" s="198"/>
      <c r="C52" s="370" t="s">
        <v>334</v>
      </c>
      <c r="D52" s="371"/>
      <c r="E52" s="371"/>
      <c r="F52" s="200"/>
      <c r="G52" s="201"/>
    </row>
    <row r="53" spans="2:7" x14ac:dyDescent="0.4">
      <c r="B53" s="338" t="s">
        <v>68</v>
      </c>
      <c r="C53" s="339" t="s">
        <v>5</v>
      </c>
      <c r="D53" s="340">
        <v>10</v>
      </c>
      <c r="E53" s="340" t="s">
        <v>5</v>
      </c>
      <c r="F53" s="341"/>
      <c r="G53" s="342"/>
    </row>
    <row r="54" spans="2:7" x14ac:dyDescent="0.4">
      <c r="B54" s="10" t="s">
        <v>265</v>
      </c>
      <c r="C54" s="10" t="str">
        <f>+'5. PPE'!B52</f>
        <v>Dep. Acum Edificios</v>
      </c>
      <c r="F54" s="8">
        <f>-'5. PPE'!C52</f>
        <v>3750000</v>
      </c>
      <c r="G54" s="9"/>
    </row>
    <row r="55" spans="2:7" x14ac:dyDescent="0.4">
      <c r="B55" s="10" t="s">
        <v>264</v>
      </c>
      <c r="C55" s="10" t="str">
        <f>+BCE!B27</f>
        <v>Edificios</v>
      </c>
      <c r="F55" s="8">
        <f>+G56-F54</f>
        <v>50000000</v>
      </c>
      <c r="G55" s="9"/>
    </row>
    <row r="56" spans="2:7" x14ac:dyDescent="0.4">
      <c r="B56" s="10" t="s">
        <v>56</v>
      </c>
      <c r="C56" s="10"/>
      <c r="D56" s="3" t="str">
        <f>+BCE!E33</f>
        <v>Otras Reservas</v>
      </c>
      <c r="F56" s="8"/>
      <c r="G56" s="9">
        <f>+'5. PPE'!E53</f>
        <v>53750000</v>
      </c>
    </row>
    <row r="57" spans="2:7" ht="15.4" thickBot="1" x14ac:dyDescent="0.45">
      <c r="B57" s="198"/>
      <c r="C57" s="198" t="s">
        <v>335</v>
      </c>
      <c r="D57" s="199"/>
      <c r="E57" s="199"/>
      <c r="F57" s="200"/>
      <c r="G57" s="201"/>
    </row>
    <row r="58" spans="2:7" x14ac:dyDescent="0.4">
      <c r="B58" s="338" t="s">
        <v>68</v>
      </c>
      <c r="C58" s="339" t="s">
        <v>5</v>
      </c>
      <c r="D58" s="340">
        <v>11</v>
      </c>
      <c r="E58" s="340" t="s">
        <v>5</v>
      </c>
      <c r="F58" s="341"/>
      <c r="G58" s="342"/>
    </row>
    <row r="59" spans="2:7" x14ac:dyDescent="0.4">
      <c r="B59" s="10" t="str">
        <f>+'6. Leasing'!B91</f>
        <v>Pasivo</v>
      </c>
      <c r="C59" s="14" t="str">
        <f>+'6. Leasing'!C91</f>
        <v>Obligaciones por derechos de uso</v>
      </c>
      <c r="D59" s="121"/>
      <c r="E59" s="121"/>
      <c r="F59" s="8">
        <f>+'6. Leasing'!H91</f>
        <v>19390888</v>
      </c>
      <c r="G59" s="9"/>
    </row>
    <row r="60" spans="2:7" x14ac:dyDescent="0.4">
      <c r="B60" s="10" t="str">
        <f>+'6. Leasing'!B92</f>
        <v>Activo</v>
      </c>
      <c r="C60" s="205"/>
      <c r="D60" s="121" t="str">
        <f>+'6. Leasing'!E92</f>
        <v>Activo por derechos de uso</v>
      </c>
      <c r="E60" s="121"/>
      <c r="F60" s="8"/>
      <c r="G60" s="9">
        <f>+F59</f>
        <v>19390888</v>
      </c>
    </row>
    <row r="61" spans="2:7" x14ac:dyDescent="0.4">
      <c r="B61" s="10" t="str">
        <f>+'6. Leasing'!B93</f>
        <v>Pasivo</v>
      </c>
      <c r="C61" s="10" t="str">
        <f>+'6. Leasing'!C93</f>
        <v>Dep. Acum derechos de uso</v>
      </c>
      <c r="D61" s="121"/>
      <c r="E61" s="121"/>
      <c r="F61" s="8">
        <f>+'6. Leasing'!H93</f>
        <v>2893736</v>
      </c>
      <c r="G61" s="9"/>
    </row>
    <row r="62" spans="2:7" x14ac:dyDescent="0.4">
      <c r="B62" s="10" t="str">
        <f>+'6. Leasing'!B94</f>
        <v>Gasto</v>
      </c>
      <c r="C62" s="205"/>
      <c r="D62" s="121" t="str">
        <f>+'6. Leasing'!E94</f>
        <v>Depreciación</v>
      </c>
      <c r="E62" s="121"/>
      <c r="F62" s="8"/>
      <c r="G62" s="9">
        <f>+F61</f>
        <v>2893736</v>
      </c>
    </row>
    <row r="63" spans="2:7" x14ac:dyDescent="0.4">
      <c r="B63" s="10"/>
      <c r="C63" s="14" t="s">
        <v>337</v>
      </c>
      <c r="D63" s="121"/>
      <c r="E63" s="121"/>
      <c r="F63" s="8"/>
      <c r="G63" s="9"/>
    </row>
    <row r="64" spans="2:7" x14ac:dyDescent="0.4">
      <c r="B64" s="10"/>
      <c r="C64" s="478" t="s">
        <v>338</v>
      </c>
      <c r="D64" s="479"/>
      <c r="E64" s="480"/>
      <c r="F64" s="8"/>
      <c r="G64" s="9"/>
    </row>
    <row r="65" spans="2:7" ht="15.4" thickBot="1" x14ac:dyDescent="0.45">
      <c r="B65" s="198"/>
      <c r="C65" s="481"/>
      <c r="D65" s="482"/>
      <c r="E65" s="483"/>
      <c r="F65" s="200"/>
      <c r="G65" s="201"/>
    </row>
    <row r="66" spans="2:7" x14ac:dyDescent="0.4">
      <c r="B66" s="338" t="s">
        <v>68</v>
      </c>
      <c r="C66" s="339" t="s">
        <v>5</v>
      </c>
      <c r="D66" s="340">
        <v>12</v>
      </c>
      <c r="E66" s="340" t="s">
        <v>5</v>
      </c>
      <c r="F66" s="341"/>
      <c r="G66" s="342"/>
    </row>
    <row r="67" spans="2:7" x14ac:dyDescent="0.4">
      <c r="B67" s="10" t="s">
        <v>266</v>
      </c>
      <c r="C67" s="10" t="s">
        <v>350</v>
      </c>
      <c r="F67" s="8">
        <f>+'8. Deterioro'!I33</f>
        <v>9260200</v>
      </c>
      <c r="G67" s="9"/>
    </row>
    <row r="68" spans="2:7" x14ac:dyDescent="0.4">
      <c r="B68" s="10" t="s">
        <v>265</v>
      </c>
      <c r="C68" s="10"/>
      <c r="D68" s="3" t="str">
        <f>+'8. Deterioro'!K29</f>
        <v>Deterioro Cuentas por Cobrar</v>
      </c>
      <c r="F68" s="8"/>
      <c r="G68" s="9">
        <f>+F67</f>
        <v>9260200</v>
      </c>
    </row>
    <row r="69" spans="2:7" x14ac:dyDescent="0.4">
      <c r="B69" s="10"/>
      <c r="C69" s="478" t="s">
        <v>309</v>
      </c>
      <c r="D69" s="479"/>
      <c r="E69" s="480"/>
      <c r="F69" s="8"/>
      <c r="G69" s="9"/>
    </row>
    <row r="70" spans="2:7" ht="15.4" thickBot="1" x14ac:dyDescent="0.45">
      <c r="B70" s="198"/>
      <c r="C70" s="481"/>
      <c r="D70" s="482"/>
      <c r="E70" s="483"/>
      <c r="F70" s="200"/>
      <c r="G70" s="201"/>
    </row>
    <row r="71" spans="2:7" x14ac:dyDescent="0.4">
      <c r="B71" s="338" t="s">
        <v>68</v>
      </c>
      <c r="C71" s="339" t="s">
        <v>5</v>
      </c>
      <c r="D71" s="340">
        <v>13</v>
      </c>
      <c r="E71" s="340" t="s">
        <v>5</v>
      </c>
      <c r="F71" s="341"/>
      <c r="G71" s="342"/>
    </row>
    <row r="72" spans="2:7" x14ac:dyDescent="0.4">
      <c r="B72" s="10" t="s">
        <v>264</v>
      </c>
      <c r="C72" s="10" t="str">
        <f>+BCE!B34</f>
        <v>Activos por diferidos</v>
      </c>
      <c r="F72" s="8">
        <f>+Diferidos!G28</f>
        <v>47059346</v>
      </c>
      <c r="G72" s="9"/>
    </row>
    <row r="73" spans="2:7" x14ac:dyDescent="0.4">
      <c r="B73" s="10" t="s">
        <v>265</v>
      </c>
      <c r="C73" s="10"/>
      <c r="D73" s="3" t="str">
        <f>+BCE!E27</f>
        <v>Pasivos por diferidos</v>
      </c>
      <c r="F73" s="8"/>
      <c r="G73" s="9">
        <f>+Diferidos!H28</f>
        <v>-588237</v>
      </c>
    </row>
    <row r="74" spans="2:7" x14ac:dyDescent="0.4">
      <c r="B74" s="10" t="s">
        <v>306</v>
      </c>
      <c r="C74" s="205"/>
      <c r="D74" s="350" t="s">
        <v>12</v>
      </c>
      <c r="E74" s="121"/>
      <c r="F74" s="8"/>
      <c r="G74" s="9">
        <f>+F72-G73</f>
        <v>47647583</v>
      </c>
    </row>
    <row r="75" spans="2:7" ht="15.4" thickBot="1" x14ac:dyDescent="0.45">
      <c r="B75" s="198"/>
      <c r="C75" s="198" t="s">
        <v>356</v>
      </c>
      <c r="D75" s="199"/>
      <c r="E75" s="199"/>
      <c r="F75" s="200"/>
      <c r="G75" s="201"/>
    </row>
    <row r="76" spans="2:7" ht="15" customHeight="1" thickBot="1" x14ac:dyDescent="0.45">
      <c r="B76" s="198"/>
      <c r="C76" s="198"/>
      <c r="D76" s="199"/>
      <c r="E76" s="199"/>
      <c r="F76" s="200"/>
      <c r="G76" s="201"/>
    </row>
    <row r="77" spans="2:7" x14ac:dyDescent="0.4">
      <c r="F77" s="202">
        <f>SUM(F3:F76)</f>
        <v>382364965</v>
      </c>
      <c r="G77" s="202">
        <f>SUM(G3:G76)</f>
        <v>382364965</v>
      </c>
    </row>
    <row r="79" spans="2:7" x14ac:dyDescent="0.4">
      <c r="G79" s="202">
        <f>+F77-G77</f>
        <v>0</v>
      </c>
    </row>
  </sheetData>
  <mergeCells count="10">
    <mergeCell ref="C31:E32"/>
    <mergeCell ref="C37:E38"/>
    <mergeCell ref="C43:E44"/>
    <mergeCell ref="C64:E65"/>
    <mergeCell ref="C69:E70"/>
    <mergeCell ref="C2:E2"/>
    <mergeCell ref="C7:E8"/>
    <mergeCell ref="C13:E14"/>
    <mergeCell ref="C19:E20"/>
    <mergeCell ref="C25:E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9D9B3-1222-49F4-8BF9-163AB5FF6997}">
  <dimension ref="A1"/>
  <sheetViews>
    <sheetView workbookViewId="0"/>
  </sheetViews>
  <sheetFormatPr baseColWidth="10" defaultRowHeight="14.25" x14ac:dyDescent="0.4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7D25-D9F3-4FD3-9637-67D94350C45F}">
  <dimension ref="B1:K13"/>
  <sheetViews>
    <sheetView showGridLines="0" zoomScale="180" zoomScaleNormal="180" workbookViewId="0">
      <selection activeCell="E20" sqref="E20"/>
    </sheetView>
  </sheetViews>
  <sheetFormatPr baseColWidth="10" defaultColWidth="11.53125" defaultRowHeight="13.5" x14ac:dyDescent="0.35"/>
  <cols>
    <col min="1" max="1" width="1.6640625" style="20" customWidth="1"/>
    <col min="2" max="4" width="11.53125" style="20"/>
    <col min="5" max="5" width="13.33203125" style="258" bestFit="1" customWidth="1"/>
    <col min="6" max="16384" width="11.53125" style="20"/>
  </cols>
  <sheetData>
    <row r="1" spans="2:11" ht="13.9" thickBot="1" x14ac:dyDescent="0.4"/>
    <row r="2" spans="2:11" x14ac:dyDescent="0.35">
      <c r="B2" s="484" t="s">
        <v>224</v>
      </c>
      <c r="C2" s="485"/>
      <c r="D2" s="485"/>
      <c r="E2" s="485"/>
      <c r="F2" s="485"/>
      <c r="G2" s="485"/>
      <c r="H2" s="485"/>
      <c r="I2" s="485"/>
      <c r="J2" s="485"/>
      <c r="K2" s="486"/>
    </row>
    <row r="3" spans="2:11" x14ac:dyDescent="0.35">
      <c r="B3" s="487"/>
      <c r="C3" s="488"/>
      <c r="D3" s="488"/>
      <c r="E3" s="488"/>
      <c r="F3" s="488"/>
      <c r="G3" s="488"/>
      <c r="H3" s="488"/>
      <c r="I3" s="488"/>
      <c r="J3" s="488"/>
      <c r="K3" s="489"/>
    </row>
    <row r="4" spans="2:11" ht="13.9" thickBot="1" x14ac:dyDescent="0.4">
      <c r="B4" s="490"/>
      <c r="C4" s="491"/>
      <c r="D4" s="491"/>
      <c r="E4" s="491"/>
      <c r="F4" s="491"/>
      <c r="G4" s="491"/>
      <c r="H4" s="491"/>
      <c r="I4" s="491"/>
      <c r="J4" s="491"/>
      <c r="K4" s="492"/>
    </row>
    <row r="7" spans="2:11" x14ac:dyDescent="0.35">
      <c r="B7" s="20" t="s">
        <v>297</v>
      </c>
      <c r="E7" s="258">
        <v>95000000</v>
      </c>
    </row>
    <row r="8" spans="2:11" ht="13.9" thickBot="1" x14ac:dyDescent="0.4">
      <c r="B8" s="20" t="s">
        <v>298</v>
      </c>
      <c r="E8" s="258">
        <f>ROUND(+E7*0.15,0)</f>
        <v>14250000</v>
      </c>
    </row>
    <row r="9" spans="2:11" ht="13.9" thickBot="1" x14ac:dyDescent="0.4">
      <c r="B9" s="331" t="s">
        <v>299</v>
      </c>
      <c r="C9" s="332"/>
      <c r="D9" s="332"/>
      <c r="E9" s="333">
        <f>SUM(E7:E8)</f>
        <v>109250000</v>
      </c>
    </row>
    <row r="11" spans="2:11" x14ac:dyDescent="0.35">
      <c r="B11" s="20" t="s">
        <v>300</v>
      </c>
      <c r="D11" s="20" t="s">
        <v>301</v>
      </c>
      <c r="E11" s="258">
        <v>21500000</v>
      </c>
    </row>
    <row r="12" spans="2:11" ht="13.9" thickBot="1" x14ac:dyDescent="0.4"/>
    <row r="13" spans="2:11" ht="13.9" thickBot="1" x14ac:dyDescent="0.4">
      <c r="B13" s="328" t="s">
        <v>58</v>
      </c>
      <c r="C13" s="329"/>
      <c r="D13" s="329"/>
      <c r="E13" s="330">
        <f>+E11-E9</f>
        <v>-87750000</v>
      </c>
    </row>
  </sheetData>
  <mergeCells count="1">
    <mergeCell ref="B2:K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9FCE-B733-4CAA-9DA8-D0FBB7458B2D}">
  <dimension ref="B1:G22"/>
  <sheetViews>
    <sheetView showGridLines="0" zoomScale="140" zoomScaleNormal="140" workbookViewId="0">
      <selection activeCell="E27" sqref="E27"/>
    </sheetView>
  </sheetViews>
  <sheetFormatPr baseColWidth="10" defaultColWidth="11.53125" defaultRowHeight="13.5" x14ac:dyDescent="0.35"/>
  <cols>
    <col min="1" max="1" width="4.1328125" style="20" customWidth="1"/>
    <col min="2" max="2" width="15.6640625" style="20" customWidth="1"/>
    <col min="3" max="3" width="17.19921875" style="20" customWidth="1"/>
    <col min="4" max="4" width="18.33203125" style="20" customWidth="1"/>
    <col min="5" max="5" width="26.33203125" style="20" bestFit="1" customWidth="1"/>
    <col min="6" max="6" width="20.86328125" style="20" customWidth="1"/>
    <col min="7" max="16384" width="11.53125" style="20"/>
  </cols>
  <sheetData>
    <row r="1" spans="2:7" ht="13.9" thickBot="1" x14ac:dyDescent="0.4"/>
    <row r="2" spans="2:7" ht="4.8" customHeight="1" x14ac:dyDescent="0.35">
      <c r="B2" s="484" t="s">
        <v>233</v>
      </c>
      <c r="C2" s="485"/>
      <c r="D2" s="485"/>
      <c r="E2" s="485"/>
      <c r="F2" s="485"/>
      <c r="G2" s="486"/>
    </row>
    <row r="3" spans="2:7" x14ac:dyDescent="0.35">
      <c r="B3" s="487"/>
      <c r="C3" s="488"/>
      <c r="D3" s="488"/>
      <c r="E3" s="488"/>
      <c r="F3" s="488"/>
      <c r="G3" s="489"/>
    </row>
    <row r="4" spans="2:7" ht="7.8" customHeight="1" thickBot="1" x14ac:dyDescent="0.4">
      <c r="B4" s="490"/>
      <c r="C4" s="491"/>
      <c r="D4" s="491"/>
      <c r="E4" s="491"/>
      <c r="F4" s="491"/>
      <c r="G4" s="492"/>
    </row>
    <row r="5" spans="2:7" ht="13.9" thickBot="1" x14ac:dyDescent="0.4">
      <c r="B5" s="257"/>
      <c r="C5" s="257"/>
      <c r="D5" s="257"/>
      <c r="E5" s="257"/>
      <c r="F5" s="257"/>
      <c r="G5" s="257"/>
    </row>
    <row r="6" spans="2:7" ht="13.9" thickBot="1" x14ac:dyDescent="0.4">
      <c r="B6" s="262" t="s">
        <v>64</v>
      </c>
      <c r="C6" s="262" t="s">
        <v>70</v>
      </c>
      <c r="D6" s="262" t="s">
        <v>232</v>
      </c>
    </row>
    <row r="7" spans="2:7" x14ac:dyDescent="0.35">
      <c r="B7" s="37" t="s">
        <v>225</v>
      </c>
      <c r="C7" s="259">
        <v>20000000</v>
      </c>
      <c r="D7" s="260">
        <v>1</v>
      </c>
    </row>
    <row r="8" spans="2:7" x14ac:dyDescent="0.35">
      <c r="B8" s="37" t="s">
        <v>226</v>
      </c>
      <c r="C8" s="259">
        <v>70000000</v>
      </c>
      <c r="D8" s="260">
        <v>1</v>
      </c>
    </row>
    <row r="9" spans="2:7" x14ac:dyDescent="0.35">
      <c r="B9" s="37" t="s">
        <v>227</v>
      </c>
      <c r="C9" s="259">
        <v>80000000</v>
      </c>
      <c r="D9" s="260">
        <v>1</v>
      </c>
    </row>
    <row r="10" spans="2:7" x14ac:dyDescent="0.35">
      <c r="B10" s="37" t="s">
        <v>228</v>
      </c>
      <c r="C10" s="259">
        <v>30000000</v>
      </c>
      <c r="D10" s="260">
        <v>1</v>
      </c>
    </row>
    <row r="11" spans="2:7" x14ac:dyDescent="0.35">
      <c r="B11" s="37" t="s">
        <v>229</v>
      </c>
      <c r="C11" s="259">
        <v>45000000</v>
      </c>
      <c r="D11" s="260">
        <v>1</v>
      </c>
    </row>
    <row r="12" spans="2:7" x14ac:dyDescent="0.35">
      <c r="B12" s="37" t="s">
        <v>230</v>
      </c>
      <c r="C12" s="259">
        <v>25000000</v>
      </c>
      <c r="D12" s="260">
        <v>1</v>
      </c>
    </row>
    <row r="13" spans="2:7" x14ac:dyDescent="0.35">
      <c r="B13" s="37" t="s">
        <v>231</v>
      </c>
      <c r="C13" s="259">
        <v>155000000</v>
      </c>
      <c r="D13" s="260">
        <v>1</v>
      </c>
    </row>
    <row r="14" spans="2:7" x14ac:dyDescent="0.35">
      <c r="B14" s="37" t="s">
        <v>157</v>
      </c>
      <c r="C14" s="259">
        <v>85000000</v>
      </c>
      <c r="D14" s="260">
        <v>1</v>
      </c>
    </row>
    <row r="15" spans="2:7" ht="13.9" thickBot="1" x14ac:dyDescent="0.4">
      <c r="B15" s="37" t="s">
        <v>159</v>
      </c>
      <c r="C15" s="259">
        <v>30000000</v>
      </c>
      <c r="D15" s="260">
        <v>1</v>
      </c>
    </row>
    <row r="16" spans="2:7" ht="13.9" thickBot="1" x14ac:dyDescent="0.4">
      <c r="B16" s="37" t="s">
        <v>53</v>
      </c>
      <c r="C16" s="259">
        <v>60000000</v>
      </c>
      <c r="D16" s="260">
        <v>1</v>
      </c>
      <c r="E16" s="262" t="s">
        <v>303</v>
      </c>
    </row>
    <row r="17" spans="2:6" x14ac:dyDescent="0.35">
      <c r="B17" s="37" t="s">
        <v>54</v>
      </c>
      <c r="C17" s="259">
        <v>150000000</v>
      </c>
      <c r="D17" s="260">
        <v>0.95</v>
      </c>
      <c r="E17" s="334">
        <f>+C17*0.05</f>
        <v>7500000</v>
      </c>
    </row>
    <row r="18" spans="2:6" ht="13.9" thickBot="1" x14ac:dyDescent="0.4">
      <c r="B18" s="27" t="s">
        <v>55</v>
      </c>
      <c r="C18" s="33">
        <v>150000000</v>
      </c>
      <c r="D18" s="261">
        <v>0.6</v>
      </c>
      <c r="E18" s="33">
        <f>+C18*0.4</f>
        <v>60000000</v>
      </c>
    </row>
    <row r="19" spans="2:6" ht="13.9" thickBot="1" x14ac:dyDescent="0.4">
      <c r="B19" s="263" t="s">
        <v>217</v>
      </c>
      <c r="C19" s="264">
        <f>SUM(C7:C18)</f>
        <v>900000000</v>
      </c>
      <c r="E19" s="335">
        <f>SUM(E17:E18)</f>
        <v>67500000</v>
      </c>
      <c r="F19" s="20" t="s">
        <v>304</v>
      </c>
    </row>
    <row r="22" spans="2:6" x14ac:dyDescent="0.35">
      <c r="C22" s="258"/>
    </row>
  </sheetData>
  <mergeCells count="1">
    <mergeCell ref="B2:G4"/>
  </mergeCells>
  <phoneticPr fontId="27"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A509-418E-438F-96B0-BDF5F8ED691A}">
  <dimension ref="B1:G28"/>
  <sheetViews>
    <sheetView showGridLines="0" zoomScale="140" zoomScaleNormal="140" workbookViewId="0">
      <selection activeCell="D28" sqref="D28"/>
    </sheetView>
  </sheetViews>
  <sheetFormatPr baseColWidth="10" defaultColWidth="11.53125" defaultRowHeight="13.5" x14ac:dyDescent="0.35"/>
  <cols>
    <col min="1" max="1" width="4.1328125" style="20" customWidth="1"/>
    <col min="2" max="2" width="47.1328125" style="20" customWidth="1"/>
    <col min="3" max="3" width="20.1328125" style="20" customWidth="1"/>
    <col min="4" max="4" width="12.1328125" style="20" bestFit="1" customWidth="1"/>
    <col min="5" max="5" width="17" style="20" customWidth="1"/>
    <col min="6" max="6" width="3.19921875" style="20" customWidth="1"/>
    <col min="7" max="7" width="17.6640625" style="20" customWidth="1"/>
    <col min="8" max="16384" width="11.53125" style="20"/>
  </cols>
  <sheetData>
    <row r="1" spans="2:7" ht="13.9" thickBot="1" x14ac:dyDescent="0.4"/>
    <row r="2" spans="2:7" ht="5.45" customHeight="1" x14ac:dyDescent="0.35">
      <c r="B2" s="484" t="s">
        <v>237</v>
      </c>
      <c r="C2" s="485"/>
      <c r="D2" s="485"/>
      <c r="E2" s="485"/>
      <c r="F2" s="485"/>
      <c r="G2" s="486"/>
    </row>
    <row r="3" spans="2:7" x14ac:dyDescent="0.35">
      <c r="B3" s="487"/>
      <c r="C3" s="488"/>
      <c r="D3" s="488"/>
      <c r="E3" s="488"/>
      <c r="F3" s="488"/>
      <c r="G3" s="489"/>
    </row>
    <row r="4" spans="2:7" ht="9" customHeight="1" thickBot="1" x14ac:dyDescent="0.4">
      <c r="B4" s="490"/>
      <c r="C4" s="491"/>
      <c r="D4" s="491"/>
      <c r="E4" s="491"/>
      <c r="F4" s="491"/>
      <c r="G4" s="492"/>
    </row>
    <row r="5" spans="2:7" ht="13.9" thickBot="1" x14ac:dyDescent="0.4"/>
    <row r="6" spans="2:7" ht="13.9" thickBot="1" x14ac:dyDescent="0.4">
      <c r="C6" s="265">
        <v>2021</v>
      </c>
    </row>
    <row r="7" spans="2:7" ht="13.9" thickBot="1" x14ac:dyDescent="0.4">
      <c r="B7" s="215" t="s">
        <v>1</v>
      </c>
      <c r="C7" s="216" t="s">
        <v>70</v>
      </c>
    </row>
    <row r="8" spans="2:7" ht="13.9" thickBot="1" x14ac:dyDescent="0.4">
      <c r="B8" s="217" t="s">
        <v>207</v>
      </c>
      <c r="C8" s="218">
        <v>40000000</v>
      </c>
    </row>
    <row r="9" spans="2:7" ht="13.9" thickBot="1" x14ac:dyDescent="0.4">
      <c r="B9" s="217" t="s">
        <v>208</v>
      </c>
      <c r="C9" s="218">
        <v>-8000000</v>
      </c>
    </row>
    <row r="10" spans="2:7" ht="13.9" thickBot="1" x14ac:dyDescent="0.4">
      <c r="B10" s="219" t="s">
        <v>217</v>
      </c>
      <c r="C10" s="220">
        <v>40000000</v>
      </c>
    </row>
    <row r="11" spans="2:7" ht="13.9" thickBot="1" x14ac:dyDescent="0.4"/>
    <row r="12" spans="2:7" ht="13.9" thickBot="1" x14ac:dyDescent="0.4">
      <c r="C12" s="265">
        <v>2022</v>
      </c>
      <c r="D12" s="268">
        <v>0.13300000000000001</v>
      </c>
      <c r="E12" s="265" t="s">
        <v>235</v>
      </c>
      <c r="G12" s="265" t="s">
        <v>236</v>
      </c>
    </row>
    <row r="13" spans="2:7" ht="13.9" thickBot="1" x14ac:dyDescent="0.4">
      <c r="B13" s="215" t="s">
        <v>1</v>
      </c>
      <c r="C13" s="216" t="s">
        <v>70</v>
      </c>
      <c r="D13" s="269" t="s">
        <v>234</v>
      </c>
      <c r="E13" s="265" t="s">
        <v>70</v>
      </c>
      <c r="G13" s="265" t="s">
        <v>70</v>
      </c>
    </row>
    <row r="14" spans="2:7" ht="13.9" thickBot="1" x14ac:dyDescent="0.4">
      <c r="B14" s="217" t="s">
        <v>207</v>
      </c>
      <c r="C14" s="218">
        <v>48000000</v>
      </c>
      <c r="D14" s="336">
        <f>ROUND(+C14*D12,0)</f>
        <v>6384000</v>
      </c>
      <c r="E14" s="266">
        <f>+C14+D14</f>
        <v>54384000</v>
      </c>
      <c r="G14" s="266"/>
    </row>
    <row r="15" spans="2:7" ht="13.9" thickBot="1" x14ac:dyDescent="0.4">
      <c r="B15" s="217" t="s">
        <v>208</v>
      </c>
      <c r="C15" s="218">
        <v>-8000000</v>
      </c>
      <c r="D15" s="271">
        <f>ROUND(+C15*D12,0)</f>
        <v>-1064000</v>
      </c>
      <c r="E15" s="266">
        <f>+C15+D15</f>
        <v>-9064000</v>
      </c>
      <c r="G15" s="266">
        <f>ROUND(+(E16/5)*-1,0)</f>
        <v>-9064000</v>
      </c>
    </row>
    <row r="16" spans="2:7" ht="13.9" thickBot="1" x14ac:dyDescent="0.4">
      <c r="B16" s="219" t="s">
        <v>217</v>
      </c>
      <c r="C16" s="220">
        <f>SUM(C14:C15)</f>
        <v>40000000</v>
      </c>
      <c r="E16" s="267">
        <f>+E14+E15</f>
        <v>45320000</v>
      </c>
      <c r="G16" s="267">
        <f>+G14+G15</f>
        <v>-9064000</v>
      </c>
    </row>
    <row r="17" spans="2:7" ht="13.9" thickBot="1" x14ac:dyDescent="0.4"/>
    <row r="18" spans="2:7" ht="13.9" thickBot="1" x14ac:dyDescent="0.4">
      <c r="C18" s="265">
        <v>2023</v>
      </c>
      <c r="D18" s="268">
        <v>0.15</v>
      </c>
      <c r="E18" s="265" t="s">
        <v>235</v>
      </c>
      <c r="G18" s="265" t="s">
        <v>236</v>
      </c>
    </row>
    <row r="19" spans="2:7" ht="13.9" thickBot="1" x14ac:dyDescent="0.4">
      <c r="B19" s="215" t="s">
        <v>1</v>
      </c>
      <c r="C19" s="216" t="s">
        <v>70</v>
      </c>
      <c r="D19" s="269" t="s">
        <v>234</v>
      </c>
      <c r="E19" s="265" t="s">
        <v>70</v>
      </c>
      <c r="G19" s="265" t="s">
        <v>70</v>
      </c>
    </row>
    <row r="20" spans="2:7" ht="13.9" thickBot="1" x14ac:dyDescent="0.4">
      <c r="B20" s="217" t="s">
        <v>207</v>
      </c>
      <c r="C20" s="218">
        <f>+E14</f>
        <v>54384000</v>
      </c>
      <c r="D20" s="270">
        <f>ROUND(+C20*D18,0)</f>
        <v>8157600</v>
      </c>
      <c r="E20" s="266">
        <f>+C20+D20</f>
        <v>62541600</v>
      </c>
      <c r="G20" s="266"/>
    </row>
    <row r="21" spans="2:7" ht="13.9" thickBot="1" x14ac:dyDescent="0.4">
      <c r="B21" s="217" t="s">
        <v>208</v>
      </c>
      <c r="C21" s="218">
        <f>+E15+G15</f>
        <v>-18128000</v>
      </c>
      <c r="D21" s="336">
        <f>ROUND(+C21*D18,0)</f>
        <v>-2719200</v>
      </c>
      <c r="E21" s="266">
        <f>+C21+D21</f>
        <v>-20847200</v>
      </c>
      <c r="G21" s="266">
        <f>ROUND(+(E22/4)*-1,0)</f>
        <v>-10423600</v>
      </c>
    </row>
    <row r="22" spans="2:7" ht="13.9" thickBot="1" x14ac:dyDescent="0.4">
      <c r="B22" s="219" t="s">
        <v>217</v>
      </c>
      <c r="C22" s="220">
        <f>SUM(C20:C21)</f>
        <v>36256000</v>
      </c>
      <c r="E22" s="267">
        <f>SUM(E20:E21)</f>
        <v>41694400</v>
      </c>
      <c r="G22" s="267"/>
    </row>
    <row r="23" spans="2:7" ht="13.9" thickBot="1" x14ac:dyDescent="0.4"/>
    <row r="24" spans="2:7" ht="13.9" thickBot="1" x14ac:dyDescent="0.4">
      <c r="C24" s="265">
        <v>2023</v>
      </c>
    </row>
    <row r="25" spans="2:7" ht="13.9" thickBot="1" x14ac:dyDescent="0.4">
      <c r="B25" s="215" t="s">
        <v>1</v>
      </c>
      <c r="C25" s="216" t="s">
        <v>70</v>
      </c>
    </row>
    <row r="26" spans="2:7" ht="13.9" thickBot="1" x14ac:dyDescent="0.4">
      <c r="B26" s="217" t="s">
        <v>207</v>
      </c>
      <c r="C26" s="218">
        <f>+E20</f>
        <v>62541600</v>
      </c>
    </row>
    <row r="27" spans="2:7" ht="13.9" thickBot="1" x14ac:dyDescent="0.4">
      <c r="B27" s="217" t="s">
        <v>208</v>
      </c>
      <c r="C27" s="218">
        <f>+E21+G21</f>
        <v>-31270800</v>
      </c>
    </row>
    <row r="28" spans="2:7" ht="13.9" thickBot="1" x14ac:dyDescent="0.4">
      <c r="B28" s="219" t="s">
        <v>217</v>
      </c>
      <c r="C28" s="220">
        <f>SUM(C26:C27)</f>
        <v>31270800</v>
      </c>
    </row>
  </sheetData>
  <mergeCells count="1">
    <mergeCell ref="B2: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Nombre</vt:lpstr>
      <vt:lpstr>BCE</vt:lpstr>
      <vt:lpstr>Materialidad</vt:lpstr>
      <vt:lpstr>Diferidos</vt:lpstr>
      <vt:lpstr>Asientos Ajustes</vt:lpstr>
      <vt:lpstr>Hoja1</vt:lpstr>
      <vt:lpstr>1.</vt:lpstr>
      <vt:lpstr>2.</vt:lpstr>
      <vt:lpstr>3.</vt:lpstr>
      <vt:lpstr>4. Provisiones</vt:lpstr>
      <vt:lpstr>5. PPE</vt:lpstr>
      <vt:lpstr>6. Leasing</vt:lpstr>
      <vt:lpstr>7. Forward</vt:lpstr>
      <vt:lpstr>8. Deterioro</vt:lpstr>
      <vt:lpstr>9. Acciones</vt:lpstr>
      <vt:lpstr>10.Existencias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cfilgueira</dc:creator>
  <cp:lastModifiedBy>Carlos Andrés Filgueira</cp:lastModifiedBy>
  <dcterms:created xsi:type="dcterms:W3CDTF">2020-06-10T15:19:35Z</dcterms:created>
  <dcterms:modified xsi:type="dcterms:W3CDTF">2024-12-10T20:32:24Z</dcterms:modified>
</cp:coreProperties>
</file>