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b03ea577e69e87/Desktop/"/>
    </mc:Choice>
  </mc:AlternateContent>
  <xr:revisionPtr revIDLastSave="588" documentId="8_{AD4F68FB-2331-46F6-A2BE-BBDFC6C1F80E}" xr6:coauthVersionLast="47" xr6:coauthVersionMax="47" xr10:uidLastSave="{D08D8B7A-F2CE-4F57-B417-1CD57EDEB95F}"/>
  <bookViews>
    <workbookView xWindow="10305" yWindow="-11640" windowWidth="20640" windowHeight="11040" tabRatio="857" xr2:uid="{835CA86D-4439-4A61-92BD-67C71F610FE6}"/>
  </bookViews>
  <sheets>
    <sheet name="Bce Final" sheetId="15" r:id="rId1"/>
    <sheet name="Materialidad" sheetId="13" r:id="rId2"/>
    <sheet name="Diferidos" sheetId="4" r:id="rId3"/>
    <sheet name="Asientos Ajustes" sheetId="3" r:id="rId4"/>
    <sheet name="Leasing" sheetId="7" r:id="rId5"/>
    <sheet name="Deterioro cx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3" l="1"/>
  <c r="F41" i="3"/>
  <c r="C41" i="3"/>
  <c r="F40" i="3"/>
  <c r="G42" i="3" s="1"/>
  <c r="C40" i="3"/>
  <c r="H23" i="4"/>
  <c r="G23" i="4"/>
  <c r="G21" i="4"/>
  <c r="E20" i="4"/>
  <c r="D20" i="4"/>
  <c r="C20" i="4"/>
  <c r="D19" i="4"/>
  <c r="F19" i="4" s="1"/>
  <c r="G19" i="4" s="1"/>
  <c r="C19" i="4"/>
  <c r="D18" i="4"/>
  <c r="F18" i="4" s="1"/>
  <c r="G18" i="4" s="1"/>
  <c r="C18" i="4"/>
  <c r="F36" i="3"/>
  <c r="G37" i="3" s="1"/>
  <c r="D37" i="3"/>
  <c r="H16" i="15"/>
  <c r="G16" i="15"/>
  <c r="C115" i="15"/>
  <c r="B115" i="15"/>
  <c r="F17" i="4"/>
  <c r="G17" i="4" s="1"/>
  <c r="C16" i="4"/>
  <c r="D107" i="15"/>
  <c r="F16" i="4" s="1"/>
  <c r="G16" i="4" s="1"/>
  <c r="C107" i="15"/>
  <c r="D105" i="15"/>
  <c r="F32" i="3"/>
  <c r="G33" i="3" s="1"/>
  <c r="C32" i="3"/>
  <c r="H15" i="15"/>
  <c r="E15" i="4"/>
  <c r="F15" i="4" s="1"/>
  <c r="H15" i="4" s="1"/>
  <c r="D15" i="4"/>
  <c r="C15" i="4"/>
  <c r="E14" i="4"/>
  <c r="D14" i="4"/>
  <c r="F14" i="4" s="1"/>
  <c r="H14" i="4" s="1"/>
  <c r="C14" i="4"/>
  <c r="E13" i="4"/>
  <c r="D13" i="4"/>
  <c r="C13" i="4"/>
  <c r="E12" i="4"/>
  <c r="D12" i="4"/>
  <c r="C12" i="4"/>
  <c r="E11" i="4"/>
  <c r="D11" i="4"/>
  <c r="C11" i="4"/>
  <c r="C28" i="3"/>
  <c r="K14" i="12"/>
  <c r="K16" i="12" s="1"/>
  <c r="F28" i="3" s="1"/>
  <c r="G29" i="3" s="1"/>
  <c r="L13" i="12"/>
  <c r="K13" i="12"/>
  <c r="D10" i="4" s="1"/>
  <c r="F10" i="4" s="1"/>
  <c r="H10" i="4" s="1"/>
  <c r="K12" i="12"/>
  <c r="L12" i="12"/>
  <c r="M11" i="12"/>
  <c r="M10" i="12"/>
  <c r="M9" i="12"/>
  <c r="M8" i="12"/>
  <c r="G44" i="12"/>
  <c r="G43" i="12"/>
  <c r="G41" i="12"/>
  <c r="G40" i="12"/>
  <c r="G38" i="12"/>
  <c r="G37" i="12"/>
  <c r="G45" i="12" s="1"/>
  <c r="I45" i="12" s="1"/>
  <c r="G32" i="12"/>
  <c r="G30" i="12"/>
  <c r="G29" i="12"/>
  <c r="G28" i="12"/>
  <c r="G26" i="12"/>
  <c r="G34" i="12" s="1"/>
  <c r="I34" i="12" s="1"/>
  <c r="G22" i="12"/>
  <c r="I22" i="12" s="1"/>
  <c r="G16" i="12"/>
  <c r="G17" i="12"/>
  <c r="G20" i="12"/>
  <c r="G14" i="12"/>
  <c r="C45" i="12"/>
  <c r="C34" i="12"/>
  <c r="C22" i="12"/>
  <c r="C10" i="4"/>
  <c r="F9" i="4"/>
  <c r="G9" i="4" s="1"/>
  <c r="F24" i="3"/>
  <c r="G25" i="3" s="1"/>
  <c r="C41" i="15"/>
  <c r="F20" i="3"/>
  <c r="G21" i="3" s="1"/>
  <c r="C20" i="3"/>
  <c r="H70" i="15"/>
  <c r="G27" i="7"/>
  <c r="B4" i="7"/>
  <c r="B7" i="7"/>
  <c r="J7" i="7"/>
  <c r="G26" i="7"/>
  <c r="F26" i="7"/>
  <c r="D23" i="7"/>
  <c r="G23" i="7"/>
  <c r="H20" i="7"/>
  <c r="H19" i="7"/>
  <c r="G8" i="7"/>
  <c r="F19" i="7"/>
  <c r="D19" i="7"/>
  <c r="D7" i="4"/>
  <c r="F7" i="4" s="1"/>
  <c r="G7" i="4" s="1"/>
  <c r="C7" i="4"/>
  <c r="C10" i="3"/>
  <c r="H14" i="15"/>
  <c r="F10" i="3" s="1"/>
  <c r="G11" i="3" s="1"/>
  <c r="C6" i="4"/>
  <c r="D6" i="4"/>
  <c r="F6" i="4" s="1"/>
  <c r="G6" i="4" s="1"/>
  <c r="F5" i="3"/>
  <c r="G6" i="3" s="1"/>
  <c r="C5" i="3"/>
  <c r="D5" i="4"/>
  <c r="E5" i="4" s="1"/>
  <c r="C5" i="4"/>
  <c r="C10" i="13"/>
  <c r="C19" i="13" s="1"/>
  <c r="C9" i="13"/>
  <c r="C17" i="13" s="1"/>
  <c r="E17" i="13" s="1"/>
  <c r="E8" i="13"/>
  <c r="D8" i="13"/>
  <c r="C8" i="13"/>
  <c r="C15" i="13" s="1"/>
  <c r="C11" i="12"/>
  <c r="K11" i="12"/>
  <c r="I11" i="12"/>
  <c r="G11" i="12"/>
  <c r="E11" i="12"/>
  <c r="E28" i="7"/>
  <c r="E27" i="7"/>
  <c r="H27" i="7" s="1"/>
  <c r="G15" i="3" s="1"/>
  <c r="F16" i="3" s="1"/>
  <c r="A28" i="15" s="1"/>
  <c r="E26" i="7"/>
  <c r="H26" i="7" s="1"/>
  <c r="F12" i="4" l="1"/>
  <c r="G12" i="4" s="1"/>
  <c r="F13" i="4"/>
  <c r="H13" i="4" s="1"/>
  <c r="F11" i="4"/>
  <c r="G11" i="4" s="1"/>
  <c r="G14" i="3"/>
  <c r="A27" i="15" s="1"/>
  <c r="H28" i="7"/>
  <c r="F17" i="3" s="1"/>
  <c r="G6" i="15" s="1"/>
  <c r="H6" i="15" s="1"/>
  <c r="C32" i="13"/>
  <c r="H32" i="13"/>
  <c r="G28" i="7"/>
  <c r="G30" i="7" s="1"/>
  <c r="D8" i="4" s="1"/>
  <c r="F8" i="4" s="1"/>
  <c r="H8" i="4" s="1"/>
  <c r="F5" i="4"/>
  <c r="D28" i="7"/>
  <c r="C17" i="3" s="1"/>
  <c r="D27" i="7"/>
  <c r="C16" i="3" s="1"/>
  <c r="D26" i="7"/>
  <c r="B37" i="13"/>
  <c r="C14" i="3" l="1"/>
  <c r="C8" i="4"/>
  <c r="C37" i="13"/>
  <c r="E37" i="13" s="1"/>
  <c r="H34" i="13" s="1"/>
  <c r="E32" i="13"/>
  <c r="H33" i="13" s="1"/>
  <c r="H21" i="4"/>
  <c r="H25" i="4" s="1"/>
  <c r="G25" i="4"/>
  <c r="G45" i="3" l="1"/>
</calcChain>
</file>

<file path=xl/sharedStrings.xml><?xml version="1.0" encoding="utf-8"?>
<sst xmlns="http://schemas.openxmlformats.org/spreadsheetml/2006/main" count="325" uniqueCount="199">
  <si>
    <t>Detalle</t>
  </si>
  <si>
    <t>Fecha</t>
  </si>
  <si>
    <t>Debe</t>
  </si>
  <si>
    <t>Haber</t>
  </si>
  <si>
    <t>-</t>
  </si>
  <si>
    <t>N°</t>
  </si>
  <si>
    <t>NIIF</t>
  </si>
  <si>
    <t>SII</t>
  </si>
  <si>
    <t>Diferencias</t>
  </si>
  <si>
    <t>Activos</t>
  </si>
  <si>
    <t>Pasivos</t>
  </si>
  <si>
    <t>Impuesto a la Renta</t>
  </si>
  <si>
    <t>Efectivo y equivalente Ef.</t>
  </si>
  <si>
    <t>Otros Pasivos financieros</t>
  </si>
  <si>
    <t>Caja</t>
  </si>
  <si>
    <t>Obligaciones por leasing</t>
  </si>
  <si>
    <t>Banco</t>
  </si>
  <si>
    <t>Cuentas por pagar</t>
  </si>
  <si>
    <t>Deudores Comerciales</t>
  </si>
  <si>
    <t>Proveedores</t>
  </si>
  <si>
    <t>Clientes</t>
  </si>
  <si>
    <t xml:space="preserve">Prov. Vacaciones </t>
  </si>
  <si>
    <t>Deterioro Cuentas por Cobrar</t>
  </si>
  <si>
    <t>Prov. Contrato de Arriendo</t>
  </si>
  <si>
    <t>Inventarios</t>
  </si>
  <si>
    <t>Otras Provisiones</t>
  </si>
  <si>
    <t>Existencias</t>
  </si>
  <si>
    <t xml:space="preserve">Activos por Impuestos </t>
  </si>
  <si>
    <t>PPM</t>
  </si>
  <si>
    <t>Provisión Juicios</t>
  </si>
  <si>
    <t>Total Activos Corrientes</t>
  </si>
  <si>
    <t>Beneficios a los empleados</t>
  </si>
  <si>
    <t>Intangibles</t>
  </si>
  <si>
    <t>PIAS</t>
  </si>
  <si>
    <t>Software</t>
  </si>
  <si>
    <t>Provisión Gratificaciones</t>
  </si>
  <si>
    <t>Propiedades Plantas y Eq.</t>
  </si>
  <si>
    <t>Total Pasivos Corrientes</t>
  </si>
  <si>
    <t>Maquinarias</t>
  </si>
  <si>
    <t>Dep. Acum Maquinarias</t>
  </si>
  <si>
    <t>Edificios</t>
  </si>
  <si>
    <t>Impuestos Diferidos</t>
  </si>
  <si>
    <t>Dep. Acum Edificios</t>
  </si>
  <si>
    <t>Pasivos por diferidos</t>
  </si>
  <si>
    <t>Terrenos</t>
  </si>
  <si>
    <t>Activo en leasing</t>
  </si>
  <si>
    <t>Total Pasivos no Corrientes</t>
  </si>
  <si>
    <t>Dep. Acum Leasing</t>
  </si>
  <si>
    <t>Capital</t>
  </si>
  <si>
    <t>Otras Reservas</t>
  </si>
  <si>
    <t>Resultados Acumulados</t>
  </si>
  <si>
    <t>Activos por diferidos</t>
  </si>
  <si>
    <t>Utilidad del ejercicio</t>
  </si>
  <si>
    <t>Total Activos no Corrientes</t>
  </si>
  <si>
    <t>Utilidad ant. de Impuesto</t>
  </si>
  <si>
    <t>VA</t>
  </si>
  <si>
    <t>=</t>
  </si>
  <si>
    <t>+</t>
  </si>
  <si>
    <t>Octubre</t>
  </si>
  <si>
    <t>Noviembre</t>
  </si>
  <si>
    <t>Diciembre</t>
  </si>
  <si>
    <t>RUT</t>
  </si>
  <si>
    <t>Neto</t>
  </si>
  <si>
    <t>UF</t>
  </si>
  <si>
    <t>Monto Libro</t>
  </si>
  <si>
    <t>Depreciación Acumulada</t>
  </si>
  <si>
    <t>Origen</t>
  </si>
  <si>
    <t>Monto</t>
  </si>
  <si>
    <t>Probabilidad de Ocurrencia</t>
  </si>
  <si>
    <t>10.000-2</t>
  </si>
  <si>
    <t>Demanda Civil</t>
  </si>
  <si>
    <t>11.000-4</t>
  </si>
  <si>
    <t>18.000-3</t>
  </si>
  <si>
    <t>17.000-4</t>
  </si>
  <si>
    <t>21.000-k</t>
  </si>
  <si>
    <t>31.12.2021</t>
  </si>
  <si>
    <t>31.12.2020</t>
  </si>
  <si>
    <t>Utilidad ant. Imp. 2021</t>
  </si>
  <si>
    <t>Provisión Contrato Oneroso</t>
  </si>
  <si>
    <t>%</t>
  </si>
  <si>
    <t>Ejercicio Leasing Financiero</t>
  </si>
  <si>
    <t>Edificio en arrendamiento financiero</t>
  </si>
  <si>
    <t>N° de cuotas</t>
  </si>
  <si>
    <t>Valor Cuota</t>
  </si>
  <si>
    <t>Vida Útil</t>
  </si>
  <si>
    <t>años</t>
  </si>
  <si>
    <t>TM</t>
  </si>
  <si>
    <t>Tasa de Interes anual</t>
  </si>
  <si>
    <t>Empresa Recupera el Iva</t>
  </si>
  <si>
    <t>Cuotas</t>
  </si>
  <si>
    <t>x</t>
  </si>
  <si>
    <t>((1+i)^n)-1</t>
  </si>
  <si>
    <t>Opción de Compra</t>
  </si>
  <si>
    <t>(i)(1+i)^n</t>
  </si>
  <si>
    <t>(1+i)^(n+1)</t>
  </si>
  <si>
    <t>La cuota de noviembre y diciembre se cancelan el 30 de casa mes</t>
  </si>
  <si>
    <t>Utilidad ant. Imp. 2022</t>
  </si>
  <si>
    <t>Usted es el encargado de auditoría del año 2023, donde debe efectuar el cálculo de la materialidad (sugerir, imponer o guardar en los papeles de trabajo los ajustes contables según la materialidad obtenida), la información que dispone es la siguiente:</t>
  </si>
  <si>
    <t>$</t>
  </si>
  <si>
    <t>Utilidad antes de Impuesto</t>
  </si>
  <si>
    <t>Total de Activos</t>
  </si>
  <si>
    <t>Total de Ingresos</t>
  </si>
  <si>
    <t>Base</t>
  </si>
  <si>
    <t>Materialidad (MP)</t>
  </si>
  <si>
    <t>Utilidad Antes de Impuesto</t>
  </si>
  <si>
    <t>Total de Ingresos de Explotación</t>
  </si>
  <si>
    <t xml:space="preserve">Explicación de la decisión en la determinación de la Materialidad
</t>
  </si>
  <si>
    <t>LET</t>
  </si>
  <si>
    <t>UET</t>
  </si>
  <si>
    <t>Balance</t>
  </si>
  <si>
    <t>Diferencia</t>
  </si>
  <si>
    <t>Materialidad para efectos de planificación al 31 de diciembre de 2023</t>
  </si>
  <si>
    <r>
      <t xml:space="preserve">i. </t>
    </r>
    <r>
      <rPr>
        <b/>
        <u/>
        <sz val="12"/>
        <color theme="1"/>
        <rFont val="Georgia"/>
        <family val="1"/>
      </rPr>
      <t xml:space="preserve">Límite de error tolerable </t>
    </r>
  </si>
  <si>
    <r>
      <t xml:space="preserve">i. </t>
    </r>
    <r>
      <rPr>
        <b/>
        <u/>
        <sz val="12"/>
        <color theme="1"/>
        <rFont val="Georgia"/>
        <family val="1"/>
      </rPr>
      <t>Umbral de error tolerable</t>
    </r>
  </si>
  <si>
    <t>Auditoría</t>
  </si>
  <si>
    <t>Ajuste</t>
  </si>
  <si>
    <t>31.12.2023</t>
  </si>
  <si>
    <t>31.12.2022</t>
  </si>
  <si>
    <t>Materialidad</t>
  </si>
  <si>
    <t>Provisión Reestructuración</t>
  </si>
  <si>
    <t>Cuota inicial</t>
  </si>
  <si>
    <t>cuota</t>
  </si>
  <si>
    <t>Int</t>
  </si>
  <si>
    <t>Amort</t>
  </si>
  <si>
    <t>oct</t>
  </si>
  <si>
    <t>nov</t>
  </si>
  <si>
    <t>dic</t>
  </si>
  <si>
    <t>Prov. Servicios Básicos</t>
  </si>
  <si>
    <t>Patrimonio</t>
  </si>
  <si>
    <t>Plusvalía</t>
  </si>
  <si>
    <t>Total Activos</t>
  </si>
  <si>
    <t>Total Pasivos</t>
  </si>
  <si>
    <t>Tributario</t>
  </si>
  <si>
    <t>Pago cuota Inicial de</t>
  </si>
  <si>
    <t>Activo</t>
  </si>
  <si>
    <t>Gasto</t>
  </si>
  <si>
    <t>Pasivo</t>
  </si>
  <si>
    <t>Ganancia</t>
  </si>
  <si>
    <t>2 MESES</t>
  </si>
  <si>
    <t>El detalle tributario que tiene la sociedad es el siguiente:</t>
  </si>
  <si>
    <t>Provisión medioambiental</t>
  </si>
  <si>
    <t>31.12.2019</t>
  </si>
  <si>
    <t>Los directores aprueban el plan formal por 15.000.000</t>
  </si>
  <si>
    <t>Al no tener utilidades constante en los 3 años, se debe sacar la materialidad del mayor entre el total de activo y total de ingreso el que sea mayor por el 0,5%, según la NIA 320</t>
  </si>
  <si>
    <t>MAT</t>
  </si>
  <si>
    <t>obligatorio</t>
  </si>
  <si>
    <t>se propone el ajuste</t>
  </si>
  <si>
    <t>Guarda en papel de trabajo</t>
  </si>
  <si>
    <t>Balance Clasificado al 31.12.2023 -  (tasa de impuesto a la Renta 27%) VIPC anual 10%</t>
  </si>
  <si>
    <t>Eliminar por se del 2024</t>
  </si>
  <si>
    <r>
      <t>1.</t>
    </r>
    <r>
      <rPr>
        <b/>
        <sz val="7"/>
        <color theme="1"/>
        <rFont val="Georgia"/>
        <family val="1"/>
      </rPr>
      <t xml:space="preserve">      </t>
    </r>
    <r>
      <rPr>
        <b/>
        <sz val="10"/>
        <color theme="1"/>
        <rFont val="Georgia"/>
        <family val="1"/>
      </rPr>
      <t>Las provisiones que se generaron el año 2023 tienen el siguiente detalle</t>
    </r>
  </si>
  <si>
    <r>
      <t>a)</t>
    </r>
    <r>
      <rPr>
        <sz val="7"/>
        <color theme="1"/>
        <rFont val="Georgia"/>
        <family val="1"/>
      </rPr>
      <t xml:space="preserve">     </t>
    </r>
    <r>
      <rPr>
        <sz val="10"/>
        <color theme="1"/>
        <rFont val="Georgia"/>
        <family val="1"/>
      </rPr>
      <t>La provisión gratificaciones es un derecho adquirido</t>
    </r>
  </si>
  <si>
    <r>
      <t>b)</t>
    </r>
    <r>
      <rPr>
        <sz val="7"/>
        <color theme="1"/>
        <rFont val="Georgia"/>
        <family val="1"/>
      </rPr>
      <t xml:space="preserve">     </t>
    </r>
    <r>
      <rPr>
        <sz val="10"/>
        <color theme="1"/>
        <rFont val="Georgia"/>
        <family val="1"/>
      </rPr>
      <t>La provisión contrato de arriendo corresponde al periodo 2024 que es cuando termina el contrato</t>
    </r>
  </si>
  <si>
    <r>
      <t>c)</t>
    </r>
    <r>
      <rPr>
        <sz val="7"/>
        <color theme="1"/>
        <rFont val="Georgia"/>
        <family val="1"/>
      </rPr>
      <t xml:space="preserve">      </t>
    </r>
    <r>
      <rPr>
        <sz val="10"/>
        <color theme="1"/>
        <rFont val="Georgia"/>
        <family val="1"/>
      </rPr>
      <t>La provisión Indemnizaciones se provisiona un tope de 11 años por trabajador según lo legal</t>
    </r>
  </si>
  <si>
    <r>
      <t>d)</t>
    </r>
    <r>
      <rPr>
        <sz val="7"/>
        <color theme="1"/>
        <rFont val="Georgia"/>
        <family val="1"/>
      </rPr>
      <t xml:space="preserve">     </t>
    </r>
    <r>
      <rPr>
        <sz val="10"/>
        <color theme="1"/>
        <rFont val="Georgia"/>
        <family val="1"/>
      </rPr>
      <t>En reuniones sostenidas nos informan que se aprobó por el gerente general la reestructuración de la empresa, lo que afecta en un gasto de $23.000.000 en el siguiente año</t>
    </r>
  </si>
  <si>
    <r>
      <t>2.</t>
    </r>
    <r>
      <rPr>
        <b/>
        <sz val="7"/>
        <color theme="1"/>
        <rFont val="Georgia"/>
        <family val="1"/>
      </rPr>
      <t xml:space="preserve">      </t>
    </r>
    <r>
      <rPr>
        <b/>
        <sz val="10"/>
        <color rgb="FF000000"/>
        <rFont val="Georgia"/>
        <family val="1"/>
      </rPr>
      <t>El detalle del leasing financiero que tiene la sociedad es el siguiente:</t>
    </r>
  </si>
  <si>
    <r>
      <t>ü</t>
    </r>
    <r>
      <rPr>
        <sz val="7"/>
        <color theme="1"/>
        <rFont val="Georgia"/>
        <family val="1"/>
      </rPr>
      <t xml:space="preserve">  </t>
    </r>
    <r>
      <rPr>
        <sz val="10"/>
        <color rgb="FF000000"/>
        <rFont val="Georgia"/>
        <family val="1"/>
      </rPr>
      <t>Contrato el 30.10.2023</t>
    </r>
  </si>
  <si>
    <r>
      <t>ü</t>
    </r>
    <r>
      <rPr>
        <sz val="7"/>
        <color theme="1"/>
        <rFont val="Georgia"/>
        <family val="1"/>
      </rPr>
      <t xml:space="preserve">  </t>
    </r>
    <r>
      <rPr>
        <sz val="10"/>
        <color rgb="FF000000"/>
        <rFont val="Georgia"/>
        <family val="1"/>
      </rPr>
      <t>Duración 99 meses</t>
    </r>
  </si>
  <si>
    <r>
      <t>ü</t>
    </r>
    <r>
      <rPr>
        <sz val="7"/>
        <color theme="1"/>
        <rFont val="Georgia"/>
        <family val="1"/>
      </rPr>
      <t xml:space="preserve">  </t>
    </r>
    <r>
      <rPr>
        <sz val="10"/>
        <color rgb="FF000000"/>
        <rFont val="Georgia"/>
        <family val="1"/>
      </rPr>
      <t>Tasa de interés contrato 8%</t>
    </r>
  </si>
  <si>
    <r>
      <t>ü</t>
    </r>
    <r>
      <rPr>
        <sz val="7"/>
        <color theme="1"/>
        <rFont val="Georgia"/>
        <family val="1"/>
      </rPr>
      <t xml:space="preserve">  </t>
    </r>
    <r>
      <rPr>
        <sz val="10"/>
        <color rgb="FF000000"/>
        <rFont val="Georgia"/>
        <family val="1"/>
      </rPr>
      <t>Cuota de 70 UF</t>
    </r>
  </si>
  <si>
    <r>
      <t>ü</t>
    </r>
    <r>
      <rPr>
        <sz val="7"/>
        <color theme="1"/>
        <rFont val="Georgia"/>
        <family val="1"/>
      </rPr>
      <t xml:space="preserve">  </t>
    </r>
    <r>
      <rPr>
        <sz val="10"/>
        <color rgb="FF000000"/>
        <rFont val="Georgia"/>
        <family val="1"/>
      </rPr>
      <t>Vida Útil de 12 años</t>
    </r>
  </si>
  <si>
    <r>
      <t>ü</t>
    </r>
    <r>
      <rPr>
        <sz val="7"/>
        <color theme="1"/>
        <rFont val="Georgia"/>
        <family val="1"/>
      </rPr>
      <t xml:space="preserve">  </t>
    </r>
    <r>
      <rPr>
        <sz val="10"/>
        <color rgb="FF000000"/>
        <rFont val="Georgia"/>
        <family val="1"/>
      </rPr>
      <t>pago cuota inicial por 100 UF.</t>
    </r>
  </si>
  <si>
    <r>
      <t>ü</t>
    </r>
    <r>
      <rPr>
        <sz val="7"/>
        <color theme="1"/>
        <rFont val="Georgia"/>
        <family val="1"/>
      </rPr>
      <t xml:space="preserve">  </t>
    </r>
    <r>
      <rPr>
        <sz val="10"/>
        <color rgb="FF000000"/>
        <rFont val="Georgia"/>
        <family val="1"/>
      </rPr>
      <t>La empresa paga las cuotas los 30 de cada mes.</t>
    </r>
  </si>
  <si>
    <r>
      <t>ü</t>
    </r>
    <r>
      <rPr>
        <sz val="7"/>
        <color theme="1"/>
        <rFont val="Georgia"/>
        <family val="1"/>
      </rPr>
      <t xml:space="preserve">  </t>
    </r>
    <r>
      <rPr>
        <sz val="10"/>
        <color rgb="FF000000"/>
        <rFont val="Georgia"/>
        <family val="1"/>
      </rPr>
      <t>UF octubre 49.900,43 – UF noviembre 49.925,54 – UF diciembre 50.001,24</t>
    </r>
  </si>
  <si>
    <t>Arriendos</t>
  </si>
  <si>
    <t>Glosa: Ajuste obligatorio por estar por sobre la materialidad, eliminación</t>
  </si>
  <si>
    <t>de arriendos que corresponden los gastos al año 2024</t>
  </si>
  <si>
    <t>Ajutes</t>
  </si>
  <si>
    <t>Reestructuración</t>
  </si>
  <si>
    <t>Glosa: Ajuste obligatorio por estar por sobre la materialidad</t>
  </si>
  <si>
    <t>Valor descontado</t>
  </si>
  <si>
    <t>Depreciación</t>
  </si>
  <si>
    <t>3. La sociedad tiene un contrato vigente de ventas de existencias por un valor de $60.000.000 con entrega el 10 de marzo del siguiente año, al 31 de diciembre y por distintas circunstancias la entidad se da cuenta que el costo de cumplir el contrato es de $33.000.000, por lo cual provisiona $27.000.000 como gasto</t>
  </si>
  <si>
    <t>Venta</t>
  </si>
  <si>
    <t>Costo</t>
  </si>
  <si>
    <t xml:space="preserve">Ganancia </t>
  </si>
  <si>
    <t>Eliminar por no se contrato oneroso</t>
  </si>
  <si>
    <t>Contrato Oneroso</t>
  </si>
  <si>
    <t>4. La sociedad efectuó una facturación el 24 de diciembre por 30.000.000 donde los productos se encuentran en bodega, esto afecta el reconocimiento de ingresos de la sociedad.</t>
  </si>
  <si>
    <t>Eliminar ingresos</t>
  </si>
  <si>
    <t>Ingresos Ajustados</t>
  </si>
  <si>
    <t>Cuenta por Cobrar</t>
  </si>
  <si>
    <t>Ingresos Anticipados</t>
  </si>
  <si>
    <t>5. Por política la sociedad efectúa una provisión de deudas incobrables, el detalle de su matriz de riesgo es el siguiente: Se tiene un gasto tributario aceptado por este concepto de $60.000.000</t>
  </si>
  <si>
    <t>TR</t>
  </si>
  <si>
    <t>TR 1</t>
  </si>
  <si>
    <t>TR 3</t>
  </si>
  <si>
    <t>TR 2</t>
  </si>
  <si>
    <t>Bce</t>
  </si>
  <si>
    <t>Resultado</t>
  </si>
  <si>
    <t>Deterioro</t>
  </si>
  <si>
    <t>Pérdida Tributaria</t>
  </si>
  <si>
    <r>
      <t>8.</t>
    </r>
    <r>
      <rPr>
        <sz val="7"/>
        <color theme="1"/>
        <rFont val="Georgia"/>
        <family val="1"/>
      </rPr>
      <t> </t>
    </r>
    <r>
      <rPr>
        <sz val="10"/>
        <color theme="1"/>
        <rFont val="Georgia"/>
        <family val="1"/>
      </rPr>
      <t>La sociedad tiene una pérdida tributaria del año anterior de $95.000.000, este año según RLI tiene una ganancia de $24.000.000 sin considerar la pérdida del año anterior</t>
    </r>
  </si>
  <si>
    <r>
      <t>7.</t>
    </r>
    <r>
      <rPr>
        <sz val="7"/>
        <color theme="1"/>
        <rFont val="Georgia"/>
        <family val="1"/>
      </rPr>
      <t> </t>
    </r>
    <r>
      <rPr>
        <sz val="10"/>
        <color theme="1"/>
        <rFont val="Georgia"/>
        <family val="1"/>
      </rPr>
      <t>La sociedad tiene el siguiente detalle de juicios que fueron reconocidos en el año 2020:</t>
    </r>
  </si>
  <si>
    <t>9. La sociedad cuenta con gastos de organización y puesta en marcha neto y actualizados de $40.000.000 los que financieramente se reconocieron en gasto.</t>
  </si>
  <si>
    <t>Gastos de Organización y P.</t>
  </si>
  <si>
    <t>10. Por temas medioambientales la sociedad debe provisionar el 1% de los ingresos del año.</t>
  </si>
  <si>
    <t>Medioambiental</t>
  </si>
  <si>
    <t>Glosa: ajuste se propone por estar por debajo de la materialidad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</si>
</sst>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&quot;$&quot;\-#,##0"/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0"/>
    <numFmt numFmtId="166" formatCode="_ * #,##0_ ;_ * \-#,##0_ ;_ * &quot;-&quot;??_ ;_ @_ "/>
    <numFmt numFmtId="167" formatCode="_ * #,##0.0000_ ;_ * \-#,##0.0000_ ;_ * &quot;-&quot;_ ;_ @_ "/>
    <numFmt numFmtId="168" formatCode="_ * #,##0.0_ ;_ * \-#,##0.0_ ;_ * &quot;-&quot;_ ;_ @_ "/>
    <numFmt numFmtId="169" formatCode="_ * #,##0.0_ ;_ * \-#,##0.0_ ;_ * &quot;-&quot;?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8"/>
      <color theme="1"/>
      <name val="Georgia"/>
      <family val="1"/>
    </font>
    <font>
      <sz val="11"/>
      <color theme="1"/>
      <name val="Georgia"/>
      <family val="1"/>
    </font>
    <font>
      <sz val="13"/>
      <color theme="1"/>
      <name val="Georgia"/>
      <family val="1"/>
    </font>
    <font>
      <b/>
      <sz val="13"/>
      <color theme="1"/>
      <name val="Georgia"/>
      <family val="1"/>
    </font>
    <font>
      <sz val="13"/>
      <name val="Georgia"/>
      <family val="1"/>
    </font>
    <font>
      <sz val="13"/>
      <color rgb="FFFF0000"/>
      <name val="Georgia"/>
      <family val="1"/>
    </font>
    <font>
      <sz val="13"/>
      <color rgb="FF0000FF"/>
      <name val="Georgia"/>
      <family val="1"/>
    </font>
    <font>
      <b/>
      <sz val="12"/>
      <name val="Georgia"/>
      <family val="1"/>
    </font>
    <font>
      <sz val="12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  <font>
      <b/>
      <u/>
      <sz val="12"/>
      <color theme="1"/>
      <name val="Georgia"/>
      <family val="1"/>
    </font>
    <font>
      <sz val="9"/>
      <color theme="1"/>
      <name val="Georgia"/>
      <family val="1"/>
    </font>
    <font>
      <b/>
      <sz val="9"/>
      <color rgb="FF000000"/>
      <name val="Georgia"/>
      <family val="1"/>
    </font>
    <font>
      <b/>
      <sz val="9"/>
      <color theme="1"/>
      <name val="Georgia"/>
      <family val="1"/>
    </font>
    <font>
      <sz val="9"/>
      <color rgb="FF000000"/>
      <name val="Georgia"/>
      <family val="1"/>
    </font>
    <font>
      <sz val="10"/>
      <color rgb="FF000000"/>
      <name val="Georgia"/>
      <family val="1"/>
    </font>
    <font>
      <b/>
      <sz val="8"/>
      <color rgb="FF000000"/>
      <name val="Georgia"/>
      <family val="1"/>
    </font>
    <font>
      <sz val="8"/>
      <color rgb="FF000000"/>
      <name val="Georgia"/>
      <family val="1"/>
    </font>
    <font>
      <b/>
      <sz val="10"/>
      <color rgb="FF000000"/>
      <name val="Georgia"/>
      <family val="1"/>
    </font>
    <font>
      <b/>
      <sz val="9"/>
      <color rgb="FFFF0000"/>
      <name val="Georgia"/>
      <family val="1"/>
    </font>
    <font>
      <sz val="10"/>
      <name val="Georgia"/>
      <family val="1"/>
    </font>
    <font>
      <sz val="12"/>
      <color rgb="FFFF0000"/>
      <name val="Georgia"/>
      <family val="1"/>
    </font>
    <font>
      <sz val="11"/>
      <color rgb="FFFF0000"/>
      <name val="Georgia"/>
      <family val="1"/>
    </font>
    <font>
      <b/>
      <sz val="7"/>
      <color theme="1"/>
      <name val="Georgia"/>
      <family val="1"/>
    </font>
    <font>
      <sz val="7"/>
      <color theme="1"/>
      <name val="Georgia"/>
      <family val="1"/>
    </font>
    <font>
      <sz val="8"/>
      <color rgb="FFFF0000"/>
      <name val="Georgia"/>
      <family val="1"/>
    </font>
    <font>
      <sz val="10"/>
      <color rgb="FFFF0000"/>
      <name val="Georgia"/>
      <family val="1"/>
    </font>
    <font>
      <sz val="9"/>
      <color rgb="FFFF0000"/>
      <name val="Georgia"/>
      <family val="1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61">
    <xf numFmtId="0" fontId="0" fillId="0" borderId="0" xfId="0"/>
    <xf numFmtId="0" fontId="2" fillId="2" borderId="1" xfId="0" applyFont="1" applyFill="1" applyBorder="1"/>
    <xf numFmtId="0" fontId="3" fillId="2" borderId="0" xfId="0" applyFont="1" applyFill="1"/>
    <xf numFmtId="0" fontId="2" fillId="2" borderId="0" xfId="0" applyFont="1" applyFill="1"/>
    <xf numFmtId="41" fontId="2" fillId="2" borderId="1" xfId="1" applyFont="1" applyFill="1" applyBorder="1"/>
    <xf numFmtId="41" fontId="3" fillId="2" borderId="0" xfId="1" applyFont="1" applyFill="1" applyBorder="1"/>
    <xf numFmtId="0" fontId="3" fillId="2" borderId="12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41" fontId="3" fillId="2" borderId="12" xfId="1" applyFont="1" applyFill="1" applyBorder="1"/>
    <xf numFmtId="0" fontId="8" fillId="3" borderId="0" xfId="0" applyFont="1" applyFill="1"/>
    <xf numFmtId="0" fontId="9" fillId="3" borderId="0" xfId="0" applyFont="1" applyFill="1"/>
    <xf numFmtId="0" fontId="8" fillId="3" borderId="15" xfId="0" applyFont="1" applyFill="1" applyBorder="1"/>
    <xf numFmtId="164" fontId="8" fillId="3" borderId="15" xfId="1" applyNumberFormat="1" applyFont="1" applyFill="1" applyBorder="1"/>
    <xf numFmtId="0" fontId="8" fillId="3" borderId="0" xfId="0" applyFont="1" applyFill="1" applyAlignment="1">
      <alignment horizontal="center"/>
    </xf>
    <xf numFmtId="0" fontId="8" fillId="3" borderId="12" xfId="0" applyFont="1" applyFill="1" applyBorder="1"/>
    <xf numFmtId="164" fontId="8" fillId="3" borderId="12" xfId="1" applyNumberFormat="1" applyFont="1" applyFill="1" applyBorder="1"/>
    <xf numFmtId="43" fontId="8" fillId="3" borderId="0" xfId="0" applyNumberFormat="1" applyFont="1" applyFill="1"/>
    <xf numFmtId="3" fontId="8" fillId="3" borderId="0" xfId="0" applyNumberFormat="1" applyFont="1" applyFill="1" applyAlignment="1">
      <alignment horizontal="center"/>
    </xf>
    <xf numFmtId="0" fontId="8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1" fontId="8" fillId="3" borderId="0" xfId="1" applyFont="1" applyFill="1" applyBorder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8" fillId="3" borderId="4" xfId="0" applyFont="1" applyFill="1" applyBorder="1"/>
    <xf numFmtId="164" fontId="8" fillId="3" borderId="4" xfId="1" applyNumberFormat="1" applyFont="1" applyFill="1" applyBorder="1"/>
    <xf numFmtId="3" fontId="8" fillId="3" borderId="0" xfId="0" applyNumberFormat="1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5" fontId="11" fillId="3" borderId="0" xfId="0" applyNumberFormat="1" applyFont="1" applyFill="1"/>
    <xf numFmtId="0" fontId="11" fillId="3" borderId="0" xfId="0" applyFont="1" applyFill="1"/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0" fontId="11" fillId="3" borderId="0" xfId="0" applyFont="1" applyFill="1" applyAlignment="1">
      <alignment horizontal="center"/>
    </xf>
    <xf numFmtId="0" fontId="12" fillId="3" borderId="0" xfId="0" applyFont="1" applyFill="1"/>
    <xf numFmtId="166" fontId="8" fillId="3" borderId="0" xfId="0" applyNumberFormat="1" applyFont="1" applyFill="1"/>
    <xf numFmtId="41" fontId="8" fillId="3" borderId="0" xfId="1" applyFont="1" applyFill="1" applyBorder="1" applyAlignment="1">
      <alignment horizontal="left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6" xfId="0" applyFont="1" applyFill="1" applyBorder="1"/>
    <xf numFmtId="0" fontId="8" fillId="3" borderId="11" xfId="0" applyFont="1" applyFill="1" applyBorder="1"/>
    <xf numFmtId="2" fontId="8" fillId="3" borderId="0" xfId="0" applyNumberFormat="1" applyFont="1" applyFill="1" applyAlignment="1">
      <alignment horizontal="center"/>
    </xf>
    <xf numFmtId="164" fontId="11" fillId="3" borderId="0" xfId="1" applyNumberFormat="1" applyFont="1" applyFill="1" applyAlignment="1">
      <alignment horizontal="center"/>
    </xf>
    <xf numFmtId="0" fontId="8" fillId="3" borderId="15" xfId="0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41" fontId="3" fillId="0" borderId="5" xfId="1" applyFont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15" fillId="4" borderId="2" xfId="0" applyFont="1" applyFill="1" applyBorder="1" applyAlignment="1">
      <alignment horizontal="justify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41" fontId="3" fillId="0" borderId="2" xfId="1" applyFont="1" applyBorder="1" applyAlignment="1">
      <alignment horizontal="right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shrinkToFit="1"/>
    </xf>
    <xf numFmtId="41" fontId="3" fillId="3" borderId="1" xfId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41" fontId="2" fillId="3" borderId="1" xfId="1" applyFont="1" applyFill="1" applyBorder="1" applyAlignment="1">
      <alignment horizontal="center" vertical="center" shrinkToFit="1"/>
    </xf>
    <xf numFmtId="41" fontId="3" fillId="3" borderId="2" xfId="1" applyFont="1" applyFill="1" applyBorder="1"/>
    <xf numFmtId="0" fontId="3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41" fontId="8" fillId="3" borderId="0" xfId="1" applyFont="1" applyFill="1"/>
    <xf numFmtId="0" fontId="11" fillId="3" borderId="2" xfId="0" applyFont="1" applyFill="1" applyBorder="1" applyAlignment="1">
      <alignment horizontal="center"/>
    </xf>
    <xf numFmtId="164" fontId="8" fillId="3" borderId="0" xfId="0" applyNumberFormat="1" applyFont="1" applyFill="1"/>
    <xf numFmtId="0" fontId="8" fillId="5" borderId="0" xfId="0" applyFont="1" applyFill="1"/>
    <xf numFmtId="41" fontId="3" fillId="3" borderId="1" xfId="1" applyFont="1" applyFill="1" applyBorder="1" applyAlignment="1">
      <alignment horizontal="left" vertical="center" shrinkToFit="1"/>
    </xf>
    <xf numFmtId="0" fontId="5" fillId="3" borderId="0" xfId="0" applyFont="1" applyFill="1"/>
    <xf numFmtId="41" fontId="8" fillId="3" borderId="0" xfId="0" applyNumberFormat="1" applyFont="1" applyFill="1"/>
    <xf numFmtId="14" fontId="14" fillId="3" borderId="19" xfId="0" applyNumberFormat="1" applyFont="1" applyFill="1" applyBorder="1" applyProtection="1">
      <protection locked="0"/>
    </xf>
    <xf numFmtId="0" fontId="14" fillId="3" borderId="20" xfId="0" applyFont="1" applyFill="1" applyBorder="1" applyAlignment="1" applyProtection="1">
      <alignment horizontal="left"/>
      <protection locked="0"/>
    </xf>
    <xf numFmtId="41" fontId="14" fillId="3" borderId="23" xfId="1" applyFont="1" applyFill="1" applyBorder="1" applyProtection="1">
      <protection locked="0"/>
    </xf>
    <xf numFmtId="41" fontId="14" fillId="3" borderId="24" xfId="1" applyFont="1" applyFill="1" applyBorder="1" applyProtection="1">
      <protection locked="0"/>
    </xf>
    <xf numFmtId="41" fontId="8" fillId="3" borderId="10" xfId="0" applyNumberFormat="1" applyFont="1" applyFill="1" applyBorder="1"/>
    <xf numFmtId="41" fontId="8" fillId="3" borderId="5" xfId="0" applyNumberFormat="1" applyFont="1" applyFill="1" applyBorder="1"/>
    <xf numFmtId="41" fontId="8" fillId="3" borderId="12" xfId="1" applyFont="1" applyFill="1" applyBorder="1"/>
    <xf numFmtId="41" fontId="8" fillId="3" borderId="23" xfId="1" applyFont="1" applyFill="1" applyBorder="1"/>
    <xf numFmtId="41" fontId="8" fillId="3" borderId="4" xfId="1" applyFont="1" applyFill="1" applyBorder="1"/>
    <xf numFmtId="0" fontId="9" fillId="2" borderId="2" xfId="0" applyFont="1" applyFill="1" applyBorder="1" applyAlignment="1">
      <alignment horizontal="center"/>
    </xf>
    <xf numFmtId="41" fontId="9" fillId="2" borderId="2" xfId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41" fontId="3" fillId="3" borderId="15" xfId="1" applyFont="1" applyFill="1" applyBorder="1" applyProtection="1">
      <protection locked="0"/>
    </xf>
    <xf numFmtId="0" fontId="10" fillId="3" borderId="2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11" xfId="0" applyFont="1" applyFill="1" applyBorder="1"/>
    <xf numFmtId="0" fontId="10" fillId="3" borderId="5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164" fontId="8" fillId="3" borderId="0" xfId="1" applyNumberFormat="1" applyFont="1" applyFill="1"/>
    <xf numFmtId="0" fontId="8" fillId="6" borderId="7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43" fontId="8" fillId="6" borderId="3" xfId="0" applyNumberFormat="1" applyFont="1" applyFill="1" applyBorder="1" applyAlignment="1">
      <alignment horizontal="center"/>
    </xf>
    <xf numFmtId="41" fontId="8" fillId="3" borderId="1" xfId="1" applyFont="1" applyFill="1" applyBorder="1"/>
    <xf numFmtId="41" fontId="8" fillId="3" borderId="1" xfId="1" applyFont="1" applyFill="1" applyBorder="1" applyAlignment="1">
      <alignment horizontal="center"/>
    </xf>
    <xf numFmtId="164" fontId="8" fillId="3" borderId="1" xfId="0" applyNumberFormat="1" applyFont="1" applyFill="1" applyBorder="1"/>
    <xf numFmtId="164" fontId="8" fillId="3" borderId="1" xfId="1" applyNumberFormat="1" applyFont="1" applyFill="1" applyBorder="1"/>
    <xf numFmtId="167" fontId="8" fillId="3" borderId="0" xfId="1" applyNumberFormat="1" applyFont="1" applyFill="1"/>
    <xf numFmtId="41" fontId="9" fillId="2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8" fillId="5" borderId="1" xfId="1" applyNumberFormat="1" applyFont="1" applyFill="1" applyBorder="1"/>
    <xf numFmtId="164" fontId="8" fillId="3" borderId="21" xfId="0" applyNumberFormat="1" applyFont="1" applyFill="1" applyBorder="1"/>
    <xf numFmtId="0" fontId="6" fillId="3" borderId="0" xfId="0" applyFont="1" applyFill="1"/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right" vertical="center" wrapText="1"/>
    </xf>
    <xf numFmtId="0" fontId="24" fillId="0" borderId="4" xfId="0" applyFont="1" applyBorder="1" applyAlignment="1">
      <alignment vertical="center" wrapText="1"/>
    </xf>
    <xf numFmtId="3" fontId="24" fillId="0" borderId="5" xfId="0" applyNumberFormat="1" applyFont="1" applyBorder="1" applyAlignment="1">
      <alignment horizontal="right" vertical="center" wrapText="1"/>
    </xf>
    <xf numFmtId="0" fontId="24" fillId="0" borderId="5" xfId="0" applyFont="1" applyBorder="1" applyAlignment="1">
      <alignment horizontal="right" vertical="center" wrapText="1"/>
    </xf>
    <xf numFmtId="0" fontId="23" fillId="0" borderId="4" xfId="0" applyFont="1" applyBorder="1" applyAlignment="1">
      <alignment vertical="center" wrapText="1"/>
    </xf>
    <xf numFmtId="3" fontId="23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horizontal="right" vertical="center" wrapText="1"/>
    </xf>
    <xf numFmtId="0" fontId="23" fillId="0" borderId="5" xfId="0" applyFont="1" applyBorder="1" applyAlignment="1">
      <alignment vertical="center" wrapText="1"/>
    </xf>
    <xf numFmtId="164" fontId="6" fillId="3" borderId="0" xfId="0" applyNumberFormat="1" applyFont="1" applyFill="1"/>
    <xf numFmtId="168" fontId="2" fillId="2" borderId="0" xfId="1" applyNumberFormat="1" applyFont="1" applyFill="1" applyBorder="1" applyAlignment="1">
      <alignment horizontal="center"/>
    </xf>
    <xf numFmtId="168" fontId="3" fillId="3" borderId="0" xfId="1" applyNumberFormat="1" applyFont="1" applyFill="1" applyBorder="1" applyAlignment="1">
      <alignment horizontal="center" vertical="center" shrinkToFit="1"/>
    </xf>
    <xf numFmtId="168" fontId="2" fillId="3" borderId="0" xfId="1" applyNumberFormat="1" applyFont="1" applyFill="1" applyBorder="1" applyAlignment="1">
      <alignment horizontal="center" vertical="center" shrinkToFit="1"/>
    </xf>
    <xf numFmtId="168" fontId="3" fillId="2" borderId="0" xfId="1" applyNumberFormat="1" applyFont="1" applyFill="1" applyBorder="1"/>
    <xf numFmtId="168" fontId="3" fillId="3" borderId="0" xfId="1" applyNumberFormat="1" applyFont="1" applyFill="1" applyBorder="1"/>
    <xf numFmtId="169" fontId="3" fillId="2" borderId="0" xfId="0" applyNumberFormat="1" applyFont="1" applyFill="1"/>
    <xf numFmtId="0" fontId="4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3" fontId="19" fillId="3" borderId="5" xfId="0" applyNumberFormat="1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vertical="center" wrapText="1"/>
    </xf>
    <xf numFmtId="0" fontId="21" fillId="3" borderId="5" xfId="0" applyFont="1" applyFill="1" applyBorder="1" applyAlignment="1">
      <alignment vertical="center" wrapText="1"/>
    </xf>
    <xf numFmtId="0" fontId="21" fillId="3" borderId="5" xfId="0" applyFont="1" applyFill="1" applyBorder="1" applyAlignment="1">
      <alignment horizontal="right" vertical="center" wrapText="1"/>
    </xf>
    <xf numFmtId="0" fontId="19" fillId="3" borderId="5" xfId="0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indent="2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0" fillId="3" borderId="7" xfId="0" applyFont="1" applyFill="1" applyBorder="1" applyAlignment="1">
      <alignment vertical="center" wrapText="1"/>
    </xf>
    <xf numFmtId="0" fontId="6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41" fontId="8" fillId="5" borderId="2" xfId="0" applyNumberFormat="1" applyFont="1" applyFill="1" applyBorder="1"/>
    <xf numFmtId="0" fontId="26" fillId="3" borderId="0" xfId="0" applyFont="1" applyFill="1" applyAlignment="1">
      <alignment vertical="center" wrapText="1"/>
    </xf>
    <xf numFmtId="41" fontId="26" fillId="3" borderId="0" xfId="0" applyNumberFormat="1" applyFont="1" applyFill="1" applyAlignment="1">
      <alignment horizontal="right" vertical="center" wrapText="1"/>
    </xf>
    <xf numFmtId="41" fontId="20" fillId="3" borderId="2" xfId="0" applyNumberFormat="1" applyFont="1" applyFill="1" applyBorder="1" applyAlignment="1">
      <alignment horizontal="right" vertical="center" wrapText="1"/>
    </xf>
    <xf numFmtId="41" fontId="6" fillId="3" borderId="0" xfId="1" applyFont="1" applyFill="1"/>
    <xf numFmtId="14" fontId="3" fillId="3" borderId="12" xfId="0" applyNumberFormat="1" applyFont="1" applyFill="1" applyBorder="1" applyProtection="1">
      <protection locked="0"/>
    </xf>
    <xf numFmtId="41" fontId="3" fillId="3" borderId="12" xfId="1" applyFont="1" applyFill="1" applyBorder="1" applyProtection="1">
      <protection locked="0"/>
    </xf>
    <xf numFmtId="41" fontId="3" fillId="3" borderId="2" xfId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justify" vertical="center" wrapText="1"/>
    </xf>
    <xf numFmtId="0" fontId="15" fillId="3" borderId="4" xfId="0" applyFont="1" applyFill="1" applyBorder="1" applyAlignment="1">
      <alignment horizontal="justify" vertical="center" wrapText="1"/>
    </xf>
    <xf numFmtId="41" fontId="16" fillId="3" borderId="15" xfId="1" applyFont="1" applyFill="1" applyBorder="1" applyAlignment="1">
      <alignment vertical="center" wrapText="1"/>
    </xf>
    <xf numFmtId="41" fontId="16" fillId="3" borderId="4" xfId="1" applyFont="1" applyFill="1" applyBorder="1" applyAlignment="1">
      <alignment vertical="center" wrapText="1"/>
    </xf>
    <xf numFmtId="9" fontId="16" fillId="3" borderId="15" xfId="1" applyNumberFormat="1" applyFont="1" applyFill="1" applyBorder="1" applyAlignment="1">
      <alignment horizontal="center" vertical="center" wrapText="1"/>
    </xf>
    <xf numFmtId="41" fontId="16" fillId="3" borderId="4" xfId="1" applyFont="1" applyFill="1" applyBorder="1" applyAlignment="1">
      <alignment horizontal="center" vertical="center" wrapText="1"/>
    </xf>
    <xf numFmtId="41" fontId="16" fillId="3" borderId="15" xfId="1" applyFont="1" applyFill="1" applyBorder="1" applyAlignment="1">
      <alignment horizontal="right" vertical="center" wrapText="1"/>
    </xf>
    <xf numFmtId="41" fontId="16" fillId="3" borderId="4" xfId="1" applyFont="1" applyFill="1" applyBorder="1" applyAlignment="1">
      <alignment horizontal="righ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0" fontId="16" fillId="3" borderId="15" xfId="1" applyNumberFormat="1" applyFont="1" applyFill="1" applyBorder="1" applyAlignment="1">
      <alignment horizontal="center" vertical="center" wrapText="1"/>
    </xf>
    <xf numFmtId="9" fontId="2" fillId="2" borderId="1" xfId="1" applyNumberFormat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3" fillId="3" borderId="7" xfId="1" applyFont="1" applyFill="1" applyBorder="1" applyAlignment="1">
      <alignment horizontal="center"/>
    </xf>
    <xf numFmtId="41" fontId="3" fillId="3" borderId="3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4" fontId="8" fillId="3" borderId="1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41" fontId="28" fillId="0" borderId="5" xfId="1" applyFont="1" applyBorder="1" applyAlignment="1">
      <alignment horizontal="right" vertical="center" wrapText="1"/>
    </xf>
    <xf numFmtId="0" fontId="7" fillId="5" borderId="0" xfId="0" applyFont="1" applyFill="1"/>
    <xf numFmtId="41" fontId="7" fillId="5" borderId="0" xfId="0" applyNumberFormat="1" applyFont="1" applyFill="1"/>
    <xf numFmtId="0" fontId="7" fillId="0" borderId="13" xfId="0" applyFont="1" applyBorder="1"/>
    <xf numFmtId="0" fontId="7" fillId="0" borderId="16" xfId="0" applyFont="1" applyBorder="1"/>
    <xf numFmtId="0" fontId="7" fillId="0" borderId="9" xfId="0" applyFont="1" applyBorder="1"/>
    <xf numFmtId="0" fontId="7" fillId="0" borderId="10" xfId="0" applyFont="1" applyBorder="1"/>
    <xf numFmtId="41" fontId="7" fillId="5" borderId="9" xfId="0" applyNumberFormat="1" applyFont="1" applyFill="1" applyBorder="1"/>
    <xf numFmtId="41" fontId="7" fillId="7" borderId="9" xfId="0" applyNumberFormat="1" applyFont="1" applyFill="1" applyBorder="1"/>
    <xf numFmtId="41" fontId="7" fillId="0" borderId="9" xfId="0" applyNumberFormat="1" applyFont="1" applyBorder="1"/>
    <xf numFmtId="0" fontId="7" fillId="0" borderId="6" xfId="0" applyFont="1" applyBorder="1"/>
    <xf numFmtId="0" fontId="7" fillId="0" borderId="5" xfId="0" applyFont="1" applyBorder="1"/>
    <xf numFmtId="0" fontId="5" fillId="5" borderId="0" xfId="0" applyFont="1" applyFill="1" applyAlignment="1">
      <alignment horizontal="left" vertical="center"/>
    </xf>
    <xf numFmtId="0" fontId="21" fillId="5" borderId="5" xfId="0" applyFont="1" applyFill="1" applyBorder="1" applyAlignment="1">
      <alignment vertical="center" wrapText="1"/>
    </xf>
    <xf numFmtId="3" fontId="21" fillId="5" borderId="5" xfId="0" applyNumberFormat="1" applyFont="1" applyFill="1" applyBorder="1" applyAlignment="1">
      <alignment horizontal="right" vertical="center" wrapText="1"/>
    </xf>
    <xf numFmtId="41" fontId="3" fillId="8" borderId="1" xfId="1" applyFont="1" applyFill="1" applyBorder="1" applyAlignment="1">
      <alignment horizontal="center" vertical="center" shrinkToFit="1"/>
    </xf>
    <xf numFmtId="0" fontId="7" fillId="3" borderId="0" xfId="0" applyFont="1" applyFill="1"/>
    <xf numFmtId="41" fontId="29" fillId="3" borderId="0" xfId="0" applyNumberFormat="1" applyFont="1" applyFill="1"/>
    <xf numFmtId="0" fontId="29" fillId="3" borderId="0" xfId="0" applyFont="1" applyFill="1"/>
    <xf numFmtId="41" fontId="7" fillId="3" borderId="0" xfId="0" applyNumberFormat="1" applyFont="1" applyFill="1"/>
    <xf numFmtId="41" fontId="7" fillId="3" borderId="0" xfId="1" applyFont="1" applyFill="1"/>
    <xf numFmtId="0" fontId="3" fillId="3" borderId="9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14" fillId="3" borderId="21" xfId="0" applyFont="1" applyFill="1" applyBorder="1" applyAlignment="1" applyProtection="1">
      <alignment horizontal="left"/>
      <protection locked="0"/>
    </xf>
    <xf numFmtId="0" fontId="14" fillId="3" borderId="22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14" fontId="3" fillId="3" borderId="4" xfId="0" applyNumberFormat="1" applyFont="1" applyFill="1" applyBorder="1" applyProtection="1"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41" fontId="3" fillId="3" borderId="4" xfId="1" applyFont="1" applyFill="1" applyBorder="1" applyProtection="1">
      <protection locked="0"/>
    </xf>
    <xf numFmtId="0" fontId="5" fillId="5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/>
    </xf>
    <xf numFmtId="0" fontId="7" fillId="5" borderId="11" xfId="0" applyFont="1" applyFill="1" applyBorder="1"/>
    <xf numFmtId="0" fontId="7" fillId="5" borderId="5" xfId="0" applyFont="1" applyFill="1" applyBorder="1"/>
    <xf numFmtId="41" fontId="7" fillId="3" borderId="0" xfId="1" applyFont="1" applyFill="1" applyAlignment="1">
      <alignment horizontal="center"/>
    </xf>
    <xf numFmtId="0" fontId="8" fillId="3" borderId="2" xfId="0" applyFont="1" applyFill="1" applyBorder="1"/>
    <xf numFmtId="0" fontId="21" fillId="5" borderId="4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left" vertical="center"/>
    </xf>
    <xf numFmtId="0" fontId="7" fillId="5" borderId="14" xfId="0" applyFont="1" applyFill="1" applyBorder="1"/>
    <xf numFmtId="0" fontId="7" fillId="5" borderId="16" xfId="0" applyFont="1" applyFill="1" applyBorder="1"/>
    <xf numFmtId="0" fontId="5" fillId="5" borderId="9" xfId="0" applyFont="1" applyFill="1" applyBorder="1" applyAlignment="1">
      <alignment horizontal="left" vertical="center"/>
    </xf>
    <xf numFmtId="0" fontId="7" fillId="5" borderId="10" xfId="0" applyFont="1" applyFill="1" applyBorder="1"/>
    <xf numFmtId="41" fontId="7" fillId="3" borderId="2" xfId="1" applyFont="1" applyFill="1" applyBorder="1"/>
    <xf numFmtId="41" fontId="7" fillId="3" borderId="2" xfId="1" applyFont="1" applyFill="1" applyBorder="1" applyAlignment="1">
      <alignment horizontal="center"/>
    </xf>
    <xf numFmtId="41" fontId="7" fillId="3" borderId="4" xfId="1" applyFont="1" applyFill="1" applyBorder="1"/>
    <xf numFmtId="0" fontId="7" fillId="9" borderId="7" xfId="0" applyFont="1" applyFill="1" applyBorder="1"/>
    <xf numFmtId="41" fontId="7" fillId="9" borderId="3" xfId="1" applyFont="1" applyFill="1" applyBorder="1"/>
    <xf numFmtId="0" fontId="21" fillId="10" borderId="5" xfId="0" applyFont="1" applyFill="1" applyBorder="1" applyAlignment="1">
      <alignment vertical="center" wrapText="1"/>
    </xf>
    <xf numFmtId="3" fontId="21" fillId="10" borderId="5" xfId="0" applyNumberFormat="1" applyFont="1" applyFill="1" applyBorder="1" applyAlignment="1">
      <alignment horizontal="right" vertical="center" wrapText="1"/>
    </xf>
    <xf numFmtId="0" fontId="27" fillId="10" borderId="13" xfId="0" applyFont="1" applyFill="1" applyBorder="1" applyAlignment="1">
      <alignment horizontal="left" vertical="center" wrapText="1"/>
    </xf>
    <xf numFmtId="0" fontId="27" fillId="10" borderId="14" xfId="0" applyFont="1" applyFill="1" applyBorder="1" applyAlignment="1">
      <alignment horizontal="left" vertical="center" wrapText="1"/>
    </xf>
    <xf numFmtId="0" fontId="27" fillId="10" borderId="16" xfId="0" applyFont="1" applyFill="1" applyBorder="1" applyAlignment="1">
      <alignment horizontal="left" vertical="center" wrapText="1"/>
    </xf>
    <xf numFmtId="0" fontId="27" fillId="10" borderId="9" xfId="0" applyFont="1" applyFill="1" applyBorder="1" applyAlignment="1">
      <alignment horizontal="left" vertical="center" wrapText="1"/>
    </xf>
    <xf numFmtId="0" fontId="27" fillId="10" borderId="0" xfId="0" applyFont="1" applyFill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 wrapText="1"/>
    </xf>
    <xf numFmtId="0" fontId="27" fillId="10" borderId="6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left" vertical="center" wrapText="1"/>
    </xf>
    <xf numFmtId="0" fontId="27" fillId="10" borderId="5" xfId="0" applyFont="1" applyFill="1" applyBorder="1" applyAlignment="1">
      <alignment horizontal="left" vertical="center" wrapText="1"/>
    </xf>
    <xf numFmtId="0" fontId="5" fillId="10" borderId="0" xfId="0" applyFont="1" applyFill="1" applyAlignment="1">
      <alignment horizontal="left" vertical="center"/>
    </xf>
    <xf numFmtId="0" fontId="7" fillId="10" borderId="0" xfId="0" applyFont="1" applyFill="1"/>
    <xf numFmtId="0" fontId="5" fillId="5" borderId="6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23" fillId="11" borderId="2" xfId="0" applyFont="1" applyFill="1" applyBorder="1" applyAlignment="1">
      <alignment vertical="center" wrapText="1"/>
    </xf>
    <xf numFmtId="0" fontId="23" fillId="11" borderId="3" xfId="0" applyFont="1" applyFill="1" applyBorder="1" applyAlignment="1">
      <alignment vertical="center" wrapText="1"/>
    </xf>
    <xf numFmtId="0" fontId="24" fillId="11" borderId="4" xfId="0" applyFont="1" applyFill="1" applyBorder="1" applyAlignment="1">
      <alignment vertical="center" wrapText="1"/>
    </xf>
    <xf numFmtId="3" fontId="24" fillId="11" borderId="5" xfId="0" applyNumberFormat="1" applyFont="1" applyFill="1" applyBorder="1" applyAlignment="1">
      <alignment horizontal="right" vertical="center" wrapText="1"/>
    </xf>
    <xf numFmtId="0" fontId="23" fillId="11" borderId="4" xfId="0" applyFont="1" applyFill="1" applyBorder="1" applyAlignment="1">
      <alignment vertical="center" wrapText="1"/>
    </xf>
    <xf numFmtId="3" fontId="23" fillId="11" borderId="5" xfId="0" applyNumberFormat="1" applyFont="1" applyFill="1" applyBorder="1" applyAlignment="1">
      <alignment vertical="center" wrapText="1"/>
    </xf>
    <xf numFmtId="3" fontId="5" fillId="3" borderId="2" xfId="0" applyNumberFormat="1" applyFont="1" applyFill="1" applyBorder="1"/>
    <xf numFmtId="3" fontId="5" fillId="3" borderId="15" xfId="0" applyNumberFormat="1" applyFont="1" applyFill="1" applyBorder="1"/>
    <xf numFmtId="3" fontId="5" fillId="3" borderId="12" xfId="0" applyNumberFormat="1" applyFont="1" applyFill="1" applyBorder="1"/>
    <xf numFmtId="3" fontId="5" fillId="3" borderId="4" xfId="0" applyNumberFormat="1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41" fontId="6" fillId="3" borderId="0" xfId="1" applyFont="1" applyFill="1" applyAlignment="1">
      <alignment horizontal="center"/>
    </xf>
    <xf numFmtId="41" fontId="32" fillId="3" borderId="0" xfId="1" applyFont="1" applyFill="1"/>
    <xf numFmtId="164" fontId="32" fillId="3" borderId="0" xfId="1" applyNumberFormat="1" applyFont="1" applyFill="1"/>
    <xf numFmtId="41" fontId="6" fillId="3" borderId="2" xfId="0" applyNumberFormat="1" applyFont="1" applyFill="1" applyBorder="1"/>
    <xf numFmtId="3" fontId="6" fillId="3" borderId="0" xfId="0" applyNumberFormat="1" applyFont="1" applyFill="1"/>
    <xf numFmtId="41" fontId="6" fillId="5" borderId="7" xfId="0" applyNumberFormat="1" applyFont="1" applyFill="1" applyBorder="1"/>
    <xf numFmtId="41" fontId="6" fillId="5" borderId="3" xfId="1" applyFont="1" applyFill="1" applyBorder="1"/>
    <xf numFmtId="41" fontId="3" fillId="3" borderId="1" xfId="1" applyNumberFormat="1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6" fontId="18" fillId="5" borderId="5" xfId="0" applyNumberFormat="1" applyFont="1" applyFill="1" applyBorder="1" applyAlignment="1">
      <alignment horizontal="right" vertical="center" wrapText="1"/>
    </xf>
    <xf numFmtId="0" fontId="18" fillId="5" borderId="5" xfId="0" applyFont="1" applyFill="1" applyBorder="1" applyAlignment="1">
      <alignment horizontal="right" vertical="center" wrapText="1"/>
    </xf>
    <xf numFmtId="3" fontId="18" fillId="5" borderId="5" xfId="0" applyNumberFormat="1" applyFont="1" applyFill="1" applyBorder="1" applyAlignment="1">
      <alignment horizontal="right" vertical="center" wrapText="1"/>
    </xf>
    <xf numFmtId="0" fontId="19" fillId="5" borderId="4" xfId="0" applyFont="1" applyFill="1" applyBorder="1" applyAlignment="1">
      <alignment vertical="center" wrapText="1"/>
    </xf>
    <xf numFmtId="3" fontId="19" fillId="5" borderId="5" xfId="0" applyNumberFormat="1" applyFont="1" applyFill="1" applyBorder="1" applyAlignment="1">
      <alignment horizontal="right" vertical="center" wrapText="1"/>
    </xf>
    <xf numFmtId="6" fontId="18" fillId="5" borderId="7" xfId="0" applyNumberFormat="1" applyFont="1" applyFill="1" applyBorder="1" applyAlignment="1">
      <alignment horizontal="right" vertical="center" wrapText="1"/>
    </xf>
    <xf numFmtId="6" fontId="18" fillId="5" borderId="8" xfId="0" applyNumberFormat="1" applyFont="1" applyFill="1" applyBorder="1" applyAlignment="1">
      <alignment horizontal="right" vertical="center" wrapText="1"/>
    </xf>
    <xf numFmtId="6" fontId="18" fillId="5" borderId="3" xfId="0" applyNumberFormat="1" applyFont="1" applyFill="1" applyBorder="1" applyAlignment="1">
      <alignment horizontal="right" vertical="center" wrapText="1"/>
    </xf>
    <xf numFmtId="0" fontId="5" fillId="10" borderId="0" xfId="0" applyFont="1" applyFill="1" applyAlignment="1">
      <alignment vertical="center"/>
    </xf>
    <xf numFmtId="0" fontId="4" fillId="10" borderId="2" xfId="0" applyFont="1" applyFill="1" applyBorder="1" applyAlignment="1">
      <alignment vertical="center" wrapText="1"/>
    </xf>
    <xf numFmtId="0" fontId="4" fillId="10" borderId="3" xfId="0" applyFont="1" applyFill="1" applyBorder="1" applyAlignment="1">
      <alignment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vertical="center" wrapText="1"/>
    </xf>
    <xf numFmtId="0" fontId="6" fillId="10" borderId="5" xfId="0" applyFont="1" applyFill="1" applyBorder="1" applyAlignment="1">
      <alignment vertical="center" wrapText="1"/>
    </xf>
    <xf numFmtId="3" fontId="6" fillId="10" borderId="5" xfId="0" applyNumberFormat="1" applyFont="1" applyFill="1" applyBorder="1" applyAlignment="1">
      <alignment horizontal="right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41" fontId="5" fillId="5" borderId="2" xfId="1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5" fillId="5" borderId="27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41" fontId="5" fillId="5" borderId="0" xfId="1" applyFont="1" applyFill="1" applyBorder="1" applyAlignment="1">
      <alignment horizontal="left" vertical="center" wrapText="1"/>
    </xf>
    <xf numFmtId="41" fontId="33" fillId="5" borderId="0" xfId="1" applyFont="1" applyFill="1" applyBorder="1" applyAlignment="1">
      <alignment horizontal="left" vertical="center" wrapText="1"/>
    </xf>
    <xf numFmtId="41" fontId="7" fillId="5" borderId="0" xfId="1" applyFont="1" applyFill="1"/>
    <xf numFmtId="41" fontId="7" fillId="5" borderId="2" xfId="1" applyFont="1" applyFill="1" applyBorder="1"/>
    <xf numFmtId="0" fontId="5" fillId="5" borderId="13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21" fillId="12" borderId="4" xfId="0" applyFont="1" applyFill="1" applyBorder="1" applyAlignment="1">
      <alignment vertical="center" wrapText="1"/>
    </xf>
    <xf numFmtId="3" fontId="21" fillId="12" borderId="5" xfId="0" applyNumberFormat="1" applyFont="1" applyFill="1" applyBorder="1" applyAlignment="1">
      <alignment horizontal="right" vertical="center" wrapText="1"/>
    </xf>
    <xf numFmtId="0" fontId="19" fillId="12" borderId="4" xfId="0" applyFont="1" applyFill="1" applyBorder="1" applyAlignment="1">
      <alignment vertical="center" wrapText="1"/>
    </xf>
    <xf numFmtId="3" fontId="19" fillId="12" borderId="5" xfId="0" applyNumberFormat="1" applyFont="1" applyFill="1" applyBorder="1" applyAlignment="1">
      <alignment horizontal="right" vertical="center" wrapText="1"/>
    </xf>
    <xf numFmtId="0" fontId="26" fillId="3" borderId="4" xfId="0" applyFont="1" applyFill="1" applyBorder="1" applyAlignment="1">
      <alignment vertical="center" wrapText="1"/>
    </xf>
    <xf numFmtId="3" fontId="26" fillId="3" borderId="5" xfId="0" applyNumberFormat="1" applyFont="1" applyFill="1" applyBorder="1" applyAlignment="1">
      <alignment horizontal="right" vertical="center" wrapText="1"/>
    </xf>
    <xf numFmtId="0" fontId="34" fillId="3" borderId="4" xfId="0" applyFont="1" applyFill="1" applyBorder="1" applyAlignment="1">
      <alignment vertical="center" wrapText="1"/>
    </xf>
    <xf numFmtId="3" fontId="34" fillId="3" borderId="5" xfId="0" applyNumberFormat="1" applyFont="1" applyFill="1" applyBorder="1" applyAlignment="1">
      <alignment horizontal="right" vertical="center" wrapText="1"/>
    </xf>
    <xf numFmtId="0" fontId="21" fillId="12" borderId="5" xfId="0" applyFont="1" applyFill="1" applyBorder="1" applyAlignment="1">
      <alignment vertical="center" wrapText="1"/>
    </xf>
    <xf numFmtId="0" fontId="26" fillId="3" borderId="5" xfId="0" applyFont="1" applyFill="1" applyBorder="1" applyAlignment="1">
      <alignment vertical="center" wrapText="1"/>
    </xf>
    <xf numFmtId="0" fontId="34" fillId="3" borderId="5" xfId="0" applyFont="1" applyFill="1" applyBorder="1" applyAlignment="1">
      <alignment vertical="center" wrapText="1"/>
    </xf>
    <xf numFmtId="0" fontId="21" fillId="13" borderId="5" xfId="0" applyFont="1" applyFill="1" applyBorder="1" applyAlignment="1">
      <alignment vertical="center" wrapText="1"/>
    </xf>
    <xf numFmtId="3" fontId="21" fillId="13" borderId="5" xfId="0" applyNumberFormat="1" applyFont="1" applyFill="1" applyBorder="1" applyAlignment="1">
      <alignment horizontal="right" vertical="center" wrapText="1"/>
    </xf>
    <xf numFmtId="41" fontId="28" fillId="3" borderId="7" xfId="1" applyFont="1" applyFill="1" applyBorder="1" applyAlignment="1">
      <alignment horizontal="center"/>
    </xf>
    <xf numFmtId="41" fontId="28" fillId="3" borderId="3" xfId="1" applyFont="1" applyFill="1" applyBorder="1" applyAlignment="1">
      <alignment horizontal="center"/>
    </xf>
    <xf numFmtId="41" fontId="28" fillId="3" borderId="2" xfId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184150</xdr:colOff>
      <xdr:row>4</xdr:row>
      <xdr:rowOff>61912</xdr:rowOff>
    </xdr:from>
    <xdr:to>
      <xdr:col>19</xdr:col>
      <xdr:colOff>102873</xdr:colOff>
      <xdr:row>18</xdr:row>
      <xdr:rowOff>58543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28EFA0-DBCE-4DC3-8DD4-DC3187BC7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1588" y="823912"/>
          <a:ext cx="7692711" cy="2658869"/>
        </a:xfrm>
        <a:prstGeom prst="rect">
          <a:avLst/>
        </a:prstGeom>
      </xdr:spPr>
    </xdr:pic>
    <xdr:clientData/>
  </xdr:twoCellAnchor>
  <xdr:twoCellAnchor>
    <xdr:from>
      <xdr:col>9</xdr:col>
      <xdr:colOff>302416</xdr:colOff>
      <xdr:row>10</xdr:row>
      <xdr:rowOff>73815</xdr:rowOff>
    </xdr:from>
    <xdr:to>
      <xdr:col>19</xdr:col>
      <xdr:colOff>543717</xdr:colOff>
      <xdr:row>12</xdr:row>
      <xdr:rowOff>178592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92A472A-9E4F-9B3E-1910-267D9C567BFE}"/>
            </a:ext>
          </a:extLst>
        </xdr:cNvPr>
        <xdr:cNvSpPr/>
      </xdr:nvSpPr>
      <xdr:spPr>
        <a:xfrm>
          <a:off x="10279854" y="1978815"/>
          <a:ext cx="8020051" cy="485777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153868</xdr:colOff>
      <xdr:row>12</xdr:row>
      <xdr:rowOff>80597</xdr:rowOff>
    </xdr:from>
    <xdr:to>
      <xdr:col>11</xdr:col>
      <xdr:colOff>703092</xdr:colOff>
      <xdr:row>14</xdr:row>
      <xdr:rowOff>139552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2B562B2C-447F-4798-9B0F-CD351ABF1568}"/>
            </a:ext>
          </a:extLst>
        </xdr:cNvPr>
        <xdr:cNvSpPr/>
      </xdr:nvSpPr>
      <xdr:spPr>
        <a:xfrm rot="16200000">
          <a:off x="6460712" y="646993"/>
          <a:ext cx="500915" cy="6378524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97374</xdr:colOff>
      <xdr:row>19</xdr:row>
      <xdr:rowOff>162659</xdr:rowOff>
    </xdr:from>
    <xdr:to>
      <xdr:col>7</xdr:col>
      <xdr:colOff>1286241</xdr:colOff>
      <xdr:row>21</xdr:row>
      <xdr:rowOff>183294</xdr:rowOff>
    </xdr:to>
    <xdr:sp macro="" textlink="">
      <xdr:nvSpPr>
        <xdr:cNvPr id="3" name="Cerrar llave 2">
          <a:extLst>
            <a:ext uri="{FF2B5EF4-FFF2-40B4-BE49-F238E27FC236}">
              <a16:creationId xmlns:a16="http://schemas.microsoft.com/office/drawing/2014/main" id="{6C70B967-9C79-446F-89AE-8737F441A35B}"/>
            </a:ext>
          </a:extLst>
        </xdr:cNvPr>
        <xdr:cNvSpPr/>
      </xdr:nvSpPr>
      <xdr:spPr>
        <a:xfrm rot="5400000">
          <a:off x="7363277" y="2783706"/>
          <a:ext cx="439735" cy="3389142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4519-A696-4152-9147-C91B0E614357}">
  <dimension ref="A1:H115"/>
  <sheetViews>
    <sheetView tabSelected="1" zoomScale="120" zoomScaleNormal="120" workbookViewId="0">
      <selection activeCell="B13" sqref="B13"/>
    </sheetView>
  </sheetViews>
  <sheetFormatPr baseColWidth="10" defaultColWidth="24.1328125" defaultRowHeight="13.5" x14ac:dyDescent="0.35"/>
  <cols>
    <col min="1" max="1" width="13" style="227" bestFit="1" customWidth="1"/>
    <col min="2" max="2" width="28.53125" style="227" customWidth="1"/>
    <col min="3" max="3" width="16.59765625" style="227" customWidth="1"/>
    <col min="4" max="4" width="13.796875" style="227" customWidth="1"/>
    <col min="5" max="5" width="25.46484375" style="227" customWidth="1"/>
    <col min="6" max="6" width="16.46484375" style="227" customWidth="1"/>
    <col min="7" max="7" width="24.1328125" style="227"/>
    <col min="8" max="8" width="13.3984375" style="231" bestFit="1" customWidth="1"/>
    <col min="9" max="16384" width="24.1328125" style="227"/>
  </cols>
  <sheetData>
    <row r="1" spans="1:8" ht="13.9" thickBot="1" x14ac:dyDescent="0.4"/>
    <row r="2" spans="1:8" ht="13.9" thickBot="1" x14ac:dyDescent="0.4">
      <c r="B2" s="165" t="s">
        <v>148</v>
      </c>
      <c r="C2" s="166"/>
      <c r="D2" s="166"/>
      <c r="E2" s="166"/>
      <c r="F2" s="167"/>
    </row>
    <row r="3" spans="1:8" ht="13.9" thickBot="1" x14ac:dyDescent="0.4">
      <c r="B3" s="154" t="s">
        <v>9</v>
      </c>
      <c r="C3" s="135"/>
      <c r="D3" s="135"/>
      <c r="E3" s="155" t="s">
        <v>10</v>
      </c>
      <c r="F3" s="136"/>
    </row>
    <row r="4" spans="1:8" ht="13.9" thickBot="1" x14ac:dyDescent="0.4">
      <c r="B4" s="137"/>
      <c r="C4" s="138"/>
      <c r="D4" s="138"/>
      <c r="E4" s="138"/>
      <c r="F4" s="138"/>
    </row>
    <row r="5" spans="1:8" ht="13.9" thickBot="1" x14ac:dyDescent="0.4">
      <c r="B5" s="139" t="s">
        <v>12</v>
      </c>
      <c r="C5" s="140">
        <v>21000000</v>
      </c>
      <c r="D5" s="141"/>
      <c r="E5" s="142" t="s">
        <v>13</v>
      </c>
      <c r="F5" s="140">
        <v>338101145</v>
      </c>
    </row>
    <row r="6" spans="1:8" ht="13.9" thickBot="1" x14ac:dyDescent="0.4">
      <c r="B6" s="345" t="s">
        <v>14</v>
      </c>
      <c r="C6" s="346">
        <v>1000000</v>
      </c>
      <c r="D6" s="138"/>
      <c r="E6" s="224" t="s">
        <v>15</v>
      </c>
      <c r="F6" s="225">
        <v>338101145</v>
      </c>
      <c r="G6" s="230">
        <f>-'Asientos Ajustes'!F17</f>
        <v>-85754882</v>
      </c>
      <c r="H6" s="262">
        <f>+F6+G6</f>
        <v>252346263</v>
      </c>
    </row>
    <row r="7" spans="1:8" ht="13.9" thickBot="1" x14ac:dyDescent="0.4">
      <c r="B7" s="345" t="s">
        <v>16</v>
      </c>
      <c r="C7" s="346">
        <v>20000000</v>
      </c>
      <c r="D7" s="138"/>
      <c r="E7" s="142" t="s">
        <v>17</v>
      </c>
      <c r="F7" s="140">
        <v>151500000</v>
      </c>
    </row>
    <row r="8" spans="1:8" ht="13.9" thickBot="1" x14ac:dyDescent="0.4">
      <c r="B8" s="139" t="s">
        <v>18</v>
      </c>
      <c r="C8" s="140">
        <v>196000000</v>
      </c>
      <c r="D8" s="138"/>
      <c r="E8" s="353" t="s">
        <v>19</v>
      </c>
      <c r="F8" s="346">
        <v>97000000</v>
      </c>
    </row>
    <row r="9" spans="1:8" ht="13.9" thickBot="1" x14ac:dyDescent="0.4">
      <c r="B9" s="345" t="s">
        <v>20</v>
      </c>
      <c r="C9" s="346">
        <v>280000000</v>
      </c>
      <c r="D9" s="138"/>
      <c r="E9" s="356" t="s">
        <v>21</v>
      </c>
      <c r="F9" s="357">
        <v>12000000</v>
      </c>
    </row>
    <row r="10" spans="1:8" ht="13.9" thickBot="1" x14ac:dyDescent="0.4">
      <c r="A10" s="228"/>
      <c r="B10" s="256" t="s">
        <v>22</v>
      </c>
      <c r="C10" s="225">
        <v>-84000000</v>
      </c>
      <c r="D10" s="138"/>
      <c r="E10" s="267" t="s">
        <v>23</v>
      </c>
      <c r="F10" s="268">
        <v>9000000</v>
      </c>
      <c r="G10" s="227" t="s">
        <v>149</v>
      </c>
    </row>
    <row r="11" spans="1:8" ht="13.9" thickBot="1" x14ac:dyDescent="0.4">
      <c r="B11" s="139" t="s">
        <v>24</v>
      </c>
      <c r="C11" s="140">
        <v>130000000</v>
      </c>
      <c r="D11" s="138"/>
      <c r="E11" s="356" t="s">
        <v>127</v>
      </c>
      <c r="F11" s="357">
        <v>6500000</v>
      </c>
    </row>
    <row r="12" spans="1:8" ht="13.9" thickBot="1" x14ac:dyDescent="0.4">
      <c r="B12" s="256" t="s">
        <v>26</v>
      </c>
      <c r="C12" s="225">
        <v>130000000</v>
      </c>
      <c r="D12" s="138"/>
      <c r="E12" s="267" t="s">
        <v>78</v>
      </c>
      <c r="F12" s="268">
        <v>27000000</v>
      </c>
      <c r="G12" s="227" t="s">
        <v>176</v>
      </c>
    </row>
    <row r="13" spans="1:8" ht="13.9" thickBot="1" x14ac:dyDescent="0.4">
      <c r="B13" s="139" t="s">
        <v>27</v>
      </c>
      <c r="C13" s="140">
        <v>25000000</v>
      </c>
      <c r="D13" s="138"/>
      <c r="E13" s="142" t="s">
        <v>25</v>
      </c>
      <c r="F13" s="140">
        <v>79000000</v>
      </c>
      <c r="H13" s="263" t="s">
        <v>167</v>
      </c>
    </row>
    <row r="14" spans="1:8" ht="13.9" thickBot="1" x14ac:dyDescent="0.4">
      <c r="B14" s="345" t="s">
        <v>28</v>
      </c>
      <c r="C14" s="346">
        <v>25000000</v>
      </c>
      <c r="D14" s="138"/>
      <c r="E14" s="224" t="s">
        <v>119</v>
      </c>
      <c r="F14" s="225">
        <v>23000000</v>
      </c>
      <c r="G14" s="254">
        <v>15000000</v>
      </c>
      <c r="H14" s="264">
        <f>+F14-G14</f>
        <v>8000000</v>
      </c>
    </row>
    <row r="15" spans="1:8" ht="13.9" thickBot="1" x14ac:dyDescent="0.4">
      <c r="B15" s="143"/>
      <c r="C15" s="145"/>
      <c r="D15" s="138"/>
      <c r="E15" s="267" t="s">
        <v>29</v>
      </c>
      <c r="F15" s="268">
        <v>25000000</v>
      </c>
      <c r="G15" s="227">
        <v>0</v>
      </c>
      <c r="H15" s="262">
        <f>+F15</f>
        <v>25000000</v>
      </c>
    </row>
    <row r="16" spans="1:8" ht="13.9" thickBot="1" x14ac:dyDescent="0.4">
      <c r="B16" s="139" t="s">
        <v>30</v>
      </c>
      <c r="C16" s="140">
        <v>372000000</v>
      </c>
      <c r="D16" s="138"/>
      <c r="E16" s="224" t="s">
        <v>140</v>
      </c>
      <c r="F16" s="225">
        <v>6000000</v>
      </c>
      <c r="G16" s="230">
        <f>+C115</f>
        <v>11700000</v>
      </c>
      <c r="H16" s="262">
        <f>+G16-F16</f>
        <v>5700000</v>
      </c>
    </row>
    <row r="17" spans="1:6" ht="13.9" thickBot="1" x14ac:dyDescent="0.4">
      <c r="B17" s="143"/>
      <c r="C17" s="145"/>
      <c r="D17" s="138"/>
      <c r="E17" s="142" t="s">
        <v>31</v>
      </c>
      <c r="F17" s="140">
        <v>64000000</v>
      </c>
    </row>
    <row r="18" spans="1:6" ht="13.9" thickBot="1" x14ac:dyDescent="0.4">
      <c r="B18" s="313" t="s">
        <v>32</v>
      </c>
      <c r="C18" s="314">
        <v>15000000</v>
      </c>
      <c r="D18" s="138"/>
      <c r="E18" s="224" t="s">
        <v>33</v>
      </c>
      <c r="F18" s="225">
        <v>42000000</v>
      </c>
    </row>
    <row r="19" spans="1:6" ht="13.9" thickBot="1" x14ac:dyDescent="0.4">
      <c r="B19" s="256" t="s">
        <v>34</v>
      </c>
      <c r="C19" s="225">
        <v>15000000</v>
      </c>
      <c r="D19" s="138"/>
      <c r="E19" s="224" t="s">
        <v>35</v>
      </c>
      <c r="F19" s="225">
        <v>22000000</v>
      </c>
    </row>
    <row r="20" spans="1:6" ht="13.9" thickBot="1" x14ac:dyDescent="0.4">
      <c r="B20" s="143"/>
      <c r="C20" s="145"/>
      <c r="D20" s="138"/>
      <c r="E20" s="144"/>
      <c r="F20" s="145"/>
    </row>
    <row r="21" spans="1:6" ht="13.9" thickBot="1" x14ac:dyDescent="0.4">
      <c r="B21" s="139" t="s">
        <v>36</v>
      </c>
      <c r="C21" s="140">
        <v>810537168</v>
      </c>
      <c r="D21" s="138"/>
      <c r="E21" s="142" t="s">
        <v>37</v>
      </c>
      <c r="F21" s="140">
        <v>632601145</v>
      </c>
    </row>
    <row r="22" spans="1:6" ht="13.9" thickBot="1" x14ac:dyDescent="0.4">
      <c r="B22" s="256" t="s">
        <v>38</v>
      </c>
      <c r="C22" s="225">
        <v>120000000</v>
      </c>
      <c r="D22" s="138"/>
      <c r="E22" s="144"/>
      <c r="F22" s="145"/>
    </row>
    <row r="23" spans="1:6" ht="13.9" thickBot="1" x14ac:dyDescent="0.4">
      <c r="B23" s="256" t="s">
        <v>39</v>
      </c>
      <c r="C23" s="225">
        <v>-40000000</v>
      </c>
      <c r="D23" s="138"/>
      <c r="E23" s="144"/>
      <c r="F23" s="145"/>
    </row>
    <row r="24" spans="1:6" ht="13.9" thickBot="1" x14ac:dyDescent="0.4">
      <c r="B24" s="256" t="s">
        <v>40</v>
      </c>
      <c r="C24" s="225">
        <v>250000000</v>
      </c>
      <c r="D24" s="138"/>
      <c r="E24" s="354" t="s">
        <v>41</v>
      </c>
      <c r="F24" s="350">
        <v>180000000</v>
      </c>
    </row>
    <row r="25" spans="1:6" ht="13.9" thickBot="1" x14ac:dyDescent="0.4">
      <c r="B25" s="256" t="s">
        <v>42</v>
      </c>
      <c r="C25" s="225">
        <v>-10000000</v>
      </c>
      <c r="D25" s="138"/>
      <c r="E25" s="355" t="s">
        <v>43</v>
      </c>
      <c r="F25" s="352">
        <v>180000000</v>
      </c>
    </row>
    <row r="26" spans="1:6" ht="13.9" thickBot="1" x14ac:dyDescent="0.4">
      <c r="B26" s="256" t="s">
        <v>44</v>
      </c>
      <c r="C26" s="225">
        <v>150000000</v>
      </c>
      <c r="D26" s="138"/>
      <c r="E26" s="144"/>
      <c r="F26" s="145"/>
    </row>
    <row r="27" spans="1:6" ht="13.9" thickBot="1" x14ac:dyDescent="0.4">
      <c r="A27" s="213">
        <f>+C27-'Asientos Ajustes'!G14</f>
        <v>260554102</v>
      </c>
      <c r="B27" s="256" t="s">
        <v>45</v>
      </c>
      <c r="C27" s="225">
        <v>346308984</v>
      </c>
      <c r="D27" s="138"/>
      <c r="E27" s="142" t="s">
        <v>46</v>
      </c>
      <c r="F27" s="140">
        <v>180000000</v>
      </c>
    </row>
    <row r="28" spans="1:6" ht="13.9" thickBot="1" x14ac:dyDescent="0.4">
      <c r="A28" s="213">
        <f>+C28+'Asientos Ajustes'!F16</f>
        <v>-5263719</v>
      </c>
      <c r="B28" s="256" t="s">
        <v>47</v>
      </c>
      <c r="C28" s="225">
        <v>-5771816</v>
      </c>
      <c r="D28" s="138"/>
      <c r="E28" s="144"/>
      <c r="F28" s="145"/>
    </row>
    <row r="29" spans="1:6" ht="13.9" thickBot="1" x14ac:dyDescent="0.4">
      <c r="B29" s="143"/>
      <c r="C29" s="145"/>
      <c r="D29" s="138"/>
      <c r="E29" s="142" t="s">
        <v>128</v>
      </c>
      <c r="F29" s="140">
        <v>449436023</v>
      </c>
    </row>
    <row r="30" spans="1:6" ht="13.9" thickBot="1" x14ac:dyDescent="0.4">
      <c r="B30" s="347" t="s">
        <v>129</v>
      </c>
      <c r="C30" s="348">
        <v>10000000</v>
      </c>
      <c r="D30" s="138"/>
      <c r="E30" s="353" t="s">
        <v>48</v>
      </c>
      <c r="F30" s="346">
        <v>10000000</v>
      </c>
    </row>
    <row r="31" spans="1:6" ht="13.9" thickBot="1" x14ac:dyDescent="0.4">
      <c r="B31" s="143"/>
      <c r="C31" s="144"/>
      <c r="D31" s="138"/>
      <c r="E31" s="353" t="s">
        <v>49</v>
      </c>
      <c r="F31" s="346">
        <v>100000000</v>
      </c>
    </row>
    <row r="32" spans="1:6" ht="13.9" thickBot="1" x14ac:dyDescent="0.4">
      <c r="B32" s="349" t="s">
        <v>41</v>
      </c>
      <c r="C32" s="350">
        <v>54500000</v>
      </c>
      <c r="D32" s="138"/>
      <c r="E32" s="353" t="s">
        <v>50</v>
      </c>
      <c r="F32" s="346">
        <v>173802060</v>
      </c>
    </row>
    <row r="33" spans="2:6" ht="13.9" thickBot="1" x14ac:dyDescent="0.4">
      <c r="B33" s="351" t="s">
        <v>51</v>
      </c>
      <c r="C33" s="352">
        <v>54500000</v>
      </c>
      <c r="D33" s="138"/>
      <c r="E33" s="353" t="s">
        <v>52</v>
      </c>
      <c r="F33" s="346">
        <v>165633963</v>
      </c>
    </row>
    <row r="34" spans="2:6" ht="13.9" thickBot="1" x14ac:dyDescent="0.4">
      <c r="B34" s="143"/>
      <c r="C34" s="145"/>
      <c r="D34" s="138"/>
      <c r="E34" s="144"/>
      <c r="F34" s="145"/>
    </row>
    <row r="35" spans="2:6" ht="13.9" thickBot="1" x14ac:dyDescent="0.4">
      <c r="B35" s="139" t="s">
        <v>53</v>
      </c>
      <c r="C35" s="140">
        <v>890037168</v>
      </c>
      <c r="D35" s="141"/>
      <c r="E35" s="142"/>
      <c r="F35" s="146"/>
    </row>
    <row r="36" spans="2:6" ht="13.9" thickBot="1" x14ac:dyDescent="0.4">
      <c r="B36" s="143"/>
      <c r="C36" s="145"/>
      <c r="D36" s="138"/>
      <c r="E36" s="144"/>
      <c r="F36" s="145"/>
    </row>
    <row r="37" spans="2:6" ht="13.9" thickBot="1" x14ac:dyDescent="0.4">
      <c r="B37" s="139" t="s">
        <v>130</v>
      </c>
      <c r="C37" s="140">
        <v>1262037168</v>
      </c>
      <c r="D37" s="141"/>
      <c r="E37" s="142" t="s">
        <v>131</v>
      </c>
      <c r="F37" s="140">
        <v>1262037168</v>
      </c>
    </row>
    <row r="38" spans="2:6" ht="13.9" thickBot="1" x14ac:dyDescent="0.4">
      <c r="B38" s="139"/>
      <c r="C38" s="146"/>
      <c r="D38" s="141"/>
      <c r="E38" s="142"/>
      <c r="F38" s="146"/>
    </row>
    <row r="39" spans="2:6" ht="13.9" thickBot="1" x14ac:dyDescent="0.4">
      <c r="B39" s="139" t="s">
        <v>101</v>
      </c>
      <c r="C39" s="140">
        <v>1200000000</v>
      </c>
      <c r="D39" s="141"/>
      <c r="E39" s="142" t="s">
        <v>54</v>
      </c>
      <c r="F39" s="140">
        <v>180000000</v>
      </c>
    </row>
    <row r="40" spans="2:6" ht="13.9" thickBot="1" x14ac:dyDescent="0.4">
      <c r="B40" s="158" t="s">
        <v>179</v>
      </c>
      <c r="C40" s="159">
        <v>-30000000</v>
      </c>
      <c r="D40" s="147"/>
      <c r="E40" s="142" t="s">
        <v>96</v>
      </c>
      <c r="F40" s="140">
        <v>140000000</v>
      </c>
    </row>
    <row r="41" spans="2:6" ht="13.9" thickBot="1" x14ac:dyDescent="0.4">
      <c r="B41" s="152" t="s">
        <v>180</v>
      </c>
      <c r="C41" s="160">
        <f>+C39+C40</f>
        <v>1170000000</v>
      </c>
      <c r="D41" s="147"/>
      <c r="E41" s="142" t="s">
        <v>77</v>
      </c>
      <c r="F41" s="140">
        <v>-85000000</v>
      </c>
    </row>
    <row r="44" spans="2:6" x14ac:dyDescent="0.35">
      <c r="B44" s="156" t="s">
        <v>150</v>
      </c>
    </row>
    <row r="45" spans="2:6" ht="5.25" customHeight="1" x14ac:dyDescent="0.35">
      <c r="B45" s="148"/>
    </row>
    <row r="46" spans="2:6" x14ac:dyDescent="0.35">
      <c r="B46" s="223" t="s">
        <v>151</v>
      </c>
      <c r="C46" s="212"/>
      <c r="D46" s="212"/>
      <c r="E46" s="212"/>
      <c r="F46" s="229"/>
    </row>
    <row r="47" spans="2:6" ht="6" customHeight="1" x14ac:dyDescent="0.35">
      <c r="B47" s="148"/>
    </row>
    <row r="48" spans="2:6" x14ac:dyDescent="0.35">
      <c r="B48" s="278" t="s">
        <v>152</v>
      </c>
      <c r="C48" s="279"/>
      <c r="D48" s="279"/>
      <c r="E48" s="279"/>
    </row>
    <row r="49" spans="2:6" ht="5.25" customHeight="1" x14ac:dyDescent="0.35">
      <c r="B49" s="148"/>
    </row>
    <row r="50" spans="2:6" x14ac:dyDescent="0.35">
      <c r="B50" s="223" t="s">
        <v>153</v>
      </c>
      <c r="C50" s="212"/>
      <c r="D50" s="212"/>
      <c r="E50" s="212"/>
      <c r="F50" s="229"/>
    </row>
    <row r="51" spans="2:6" ht="6" customHeight="1" thickBot="1" x14ac:dyDescent="0.4">
      <c r="B51" s="148"/>
    </row>
    <row r="52" spans="2:6" x14ac:dyDescent="0.35">
      <c r="B52" s="242" t="s">
        <v>154</v>
      </c>
      <c r="C52" s="243"/>
      <c r="D52" s="243"/>
      <c r="E52" s="244"/>
    </row>
    <row r="53" spans="2:6" x14ac:dyDescent="0.35">
      <c r="B53" s="245"/>
      <c r="C53" s="246"/>
      <c r="D53" s="246"/>
      <c r="E53" s="247"/>
    </row>
    <row r="54" spans="2:6" x14ac:dyDescent="0.35">
      <c r="B54" s="248"/>
      <c r="C54" s="249"/>
      <c r="D54" s="249"/>
      <c r="E54" s="250"/>
    </row>
    <row r="55" spans="2:6" ht="13.9" thickBot="1" x14ac:dyDescent="0.4">
      <c r="B55" s="251" t="s">
        <v>142</v>
      </c>
      <c r="C55" s="252"/>
      <c r="D55" s="252"/>
      <c r="E55" s="253"/>
    </row>
    <row r="56" spans="2:6" ht="13.9" thickBot="1" x14ac:dyDescent="0.4">
      <c r="B56" s="148"/>
    </row>
    <row r="57" spans="2:6" x14ac:dyDescent="0.35">
      <c r="B57" s="257" t="s">
        <v>155</v>
      </c>
      <c r="C57" s="258"/>
      <c r="D57" s="258"/>
      <c r="E57" s="259"/>
    </row>
    <row r="58" spans="2:6" ht="4.5" customHeight="1" x14ac:dyDescent="0.35">
      <c r="B58" s="260"/>
      <c r="C58" s="212"/>
      <c r="D58" s="212"/>
      <c r="E58" s="261"/>
    </row>
    <row r="59" spans="2:6" x14ac:dyDescent="0.35">
      <c r="B59" s="260" t="s">
        <v>156</v>
      </c>
      <c r="C59" s="212"/>
      <c r="D59" s="212"/>
      <c r="E59" s="261"/>
    </row>
    <row r="60" spans="2:6" x14ac:dyDescent="0.35">
      <c r="B60" s="260" t="s">
        <v>157</v>
      </c>
      <c r="C60" s="212"/>
      <c r="D60" s="212"/>
      <c r="E60" s="261"/>
    </row>
    <row r="61" spans="2:6" x14ac:dyDescent="0.35">
      <c r="B61" s="260" t="s">
        <v>158</v>
      </c>
      <c r="C61" s="212"/>
      <c r="D61" s="212"/>
      <c r="E61" s="261"/>
    </row>
    <row r="62" spans="2:6" x14ac:dyDescent="0.35">
      <c r="B62" s="260" t="s">
        <v>159</v>
      </c>
      <c r="C62" s="212"/>
      <c r="D62" s="212"/>
      <c r="E62" s="261"/>
    </row>
    <row r="63" spans="2:6" x14ac:dyDescent="0.35">
      <c r="B63" s="260" t="s">
        <v>160</v>
      </c>
      <c r="C63" s="212"/>
      <c r="D63" s="212"/>
      <c r="E63" s="261"/>
    </row>
    <row r="64" spans="2:6" x14ac:dyDescent="0.35">
      <c r="B64" s="260" t="s">
        <v>161</v>
      </c>
      <c r="C64" s="212"/>
      <c r="D64" s="212"/>
      <c r="E64" s="261"/>
    </row>
    <row r="65" spans="2:8" x14ac:dyDescent="0.35">
      <c r="B65" s="260" t="s">
        <v>162</v>
      </c>
      <c r="C65" s="212"/>
      <c r="D65" s="212"/>
      <c r="E65" s="261"/>
    </row>
    <row r="66" spans="2:8" ht="13.9" thickBot="1" x14ac:dyDescent="0.4">
      <c r="B66" s="251" t="s">
        <v>163</v>
      </c>
      <c r="C66" s="252"/>
      <c r="D66" s="252"/>
      <c r="E66" s="253"/>
    </row>
    <row r="67" spans="2:8" ht="13.9" thickBot="1" x14ac:dyDescent="0.4">
      <c r="B67" s="148"/>
    </row>
    <row r="68" spans="2:8" x14ac:dyDescent="0.35">
      <c r="B68" s="269" t="s">
        <v>172</v>
      </c>
      <c r="C68" s="270"/>
      <c r="D68" s="270"/>
      <c r="E68" s="270"/>
      <c r="F68" s="271"/>
      <c r="G68" s="227" t="s">
        <v>173</v>
      </c>
      <c r="H68" s="231">
        <v>60000000</v>
      </c>
    </row>
    <row r="69" spans="2:8" ht="13.9" thickBot="1" x14ac:dyDescent="0.4">
      <c r="B69" s="272"/>
      <c r="C69" s="273"/>
      <c r="D69" s="273"/>
      <c r="E69" s="273"/>
      <c r="F69" s="274"/>
      <c r="G69" s="227" t="s">
        <v>174</v>
      </c>
      <c r="H69" s="231">
        <v>-33000000</v>
      </c>
    </row>
    <row r="70" spans="2:8" ht="13.9" thickBot="1" x14ac:dyDescent="0.4">
      <c r="B70" s="272"/>
      <c r="C70" s="273"/>
      <c r="D70" s="273"/>
      <c r="E70" s="273"/>
      <c r="F70" s="274"/>
      <c r="G70" s="265" t="s">
        <v>175</v>
      </c>
      <c r="H70" s="266">
        <f>SUM(H68:H69)</f>
        <v>27000000</v>
      </c>
    </row>
    <row r="71" spans="2:8" ht="13.9" thickBot="1" x14ac:dyDescent="0.4">
      <c r="B71" s="275"/>
      <c r="C71" s="276"/>
      <c r="D71" s="276"/>
      <c r="E71" s="276"/>
      <c r="F71" s="277"/>
    </row>
    <row r="72" spans="2:8" ht="8.25" customHeight="1" thickBot="1" x14ac:dyDescent="0.4">
      <c r="B72" s="148"/>
    </row>
    <row r="73" spans="2:8" x14ac:dyDescent="0.35">
      <c r="B73" s="242" t="s">
        <v>178</v>
      </c>
      <c r="C73" s="243"/>
      <c r="D73" s="243"/>
      <c r="E73" s="243"/>
      <c r="F73" s="244"/>
    </row>
    <row r="74" spans="2:8" ht="13.9" thickBot="1" x14ac:dyDescent="0.4">
      <c r="B74" s="280"/>
      <c r="C74" s="281"/>
      <c r="D74" s="281"/>
      <c r="E74" s="281"/>
      <c r="F74" s="282"/>
    </row>
    <row r="75" spans="2:8" ht="6" customHeight="1" thickBot="1" x14ac:dyDescent="0.4">
      <c r="B75" s="149"/>
    </row>
    <row r="76" spans="2:8" x14ac:dyDescent="0.35">
      <c r="B76" s="242" t="s">
        <v>183</v>
      </c>
      <c r="C76" s="243"/>
      <c r="D76" s="243"/>
      <c r="E76" s="243"/>
      <c r="F76" s="244"/>
    </row>
    <row r="77" spans="2:8" ht="13.9" thickBot="1" x14ac:dyDescent="0.4">
      <c r="B77" s="280"/>
      <c r="C77" s="281"/>
      <c r="D77" s="281"/>
      <c r="E77" s="281"/>
      <c r="F77" s="282"/>
    </row>
    <row r="78" spans="2:8" ht="8.25" customHeight="1" x14ac:dyDescent="0.35">
      <c r="B78" s="151"/>
    </row>
    <row r="79" spans="2:8" x14ac:dyDescent="0.35">
      <c r="B79" s="148" t="s">
        <v>139</v>
      </c>
    </row>
    <row r="80" spans="2:8" ht="5.65" customHeight="1" thickBot="1" x14ac:dyDescent="0.4">
      <c r="B80" s="151"/>
    </row>
    <row r="81" spans="2:5" ht="51.4" thickBot="1" x14ac:dyDescent="0.4">
      <c r="B81" s="304" t="s">
        <v>0</v>
      </c>
      <c r="C81" s="305" t="s">
        <v>64</v>
      </c>
      <c r="D81" s="305" t="s">
        <v>65</v>
      </c>
      <c r="E81" s="305" t="s">
        <v>62</v>
      </c>
    </row>
    <row r="82" spans="2:5" ht="13.9" thickBot="1" x14ac:dyDescent="0.4">
      <c r="B82" s="306" t="s">
        <v>38</v>
      </c>
      <c r="C82" s="307"/>
      <c r="D82" s="307"/>
      <c r="E82" s="308"/>
    </row>
    <row r="83" spans="2:5" ht="13.9" thickBot="1" x14ac:dyDescent="0.4">
      <c r="B83" s="309" t="s">
        <v>132</v>
      </c>
      <c r="C83" s="310">
        <v>120000000</v>
      </c>
      <c r="D83" s="310">
        <v>10000000</v>
      </c>
      <c r="E83" s="310">
        <v>110000000</v>
      </c>
    </row>
    <row r="84" spans="2:5" ht="13.9" thickBot="1" x14ac:dyDescent="0.4">
      <c r="B84" s="306" t="s">
        <v>40</v>
      </c>
      <c r="C84" s="307"/>
      <c r="D84" s="307"/>
      <c r="E84" s="308"/>
    </row>
    <row r="85" spans="2:5" ht="13.9" thickBot="1" x14ac:dyDescent="0.4">
      <c r="B85" s="309" t="s">
        <v>132</v>
      </c>
      <c r="C85" s="310">
        <v>270000000</v>
      </c>
      <c r="D85" s="310">
        <v>20000000</v>
      </c>
      <c r="E85" s="310">
        <v>250000000</v>
      </c>
    </row>
    <row r="86" spans="2:5" ht="13.9" thickBot="1" x14ac:dyDescent="0.4">
      <c r="B86" s="306" t="s">
        <v>44</v>
      </c>
      <c r="C86" s="307"/>
      <c r="D86" s="307"/>
      <c r="E86" s="308"/>
    </row>
    <row r="87" spans="2:5" ht="13.9" thickBot="1" x14ac:dyDescent="0.4">
      <c r="B87" s="309" t="s">
        <v>132</v>
      </c>
      <c r="C87" s="310">
        <v>50000000</v>
      </c>
      <c r="D87" s="311"/>
      <c r="E87" s="310">
        <v>50000000</v>
      </c>
    </row>
    <row r="88" spans="2:5" ht="13.9" thickBot="1" x14ac:dyDescent="0.4">
      <c r="B88" s="306" t="s">
        <v>34</v>
      </c>
      <c r="C88" s="307"/>
      <c r="D88" s="307"/>
      <c r="E88" s="308"/>
    </row>
    <row r="89" spans="2:5" ht="13.9" thickBot="1" x14ac:dyDescent="0.4">
      <c r="B89" s="309" t="s">
        <v>132</v>
      </c>
      <c r="C89" s="312">
        <v>5000000</v>
      </c>
      <c r="D89" s="312">
        <v>5000000</v>
      </c>
      <c r="E89" s="311" t="s">
        <v>4</v>
      </c>
    </row>
    <row r="90" spans="2:5" ht="13.9" thickBot="1" x14ac:dyDescent="0.4">
      <c r="B90" s="306" t="s">
        <v>26</v>
      </c>
      <c r="C90" s="307"/>
      <c r="D90" s="307"/>
      <c r="E90" s="308"/>
    </row>
    <row r="91" spans="2:5" ht="13.9" thickBot="1" x14ac:dyDescent="0.4">
      <c r="B91" s="309" t="s">
        <v>24</v>
      </c>
      <c r="C91" s="315">
        <v>100000000</v>
      </c>
      <c r="D91" s="316"/>
      <c r="E91" s="317"/>
    </row>
    <row r="92" spans="2:5" x14ac:dyDescent="0.35">
      <c r="B92" s="151"/>
    </row>
    <row r="93" spans="2:5" x14ac:dyDescent="0.35">
      <c r="B93" s="318" t="s">
        <v>193</v>
      </c>
      <c r="C93" s="279"/>
      <c r="D93" s="279"/>
      <c r="E93" s="279"/>
    </row>
    <row r="94" spans="2:5" ht="13.9" thickBot="1" x14ac:dyDescent="0.4">
      <c r="B94" s="318"/>
      <c r="C94" s="279"/>
      <c r="D94" s="279"/>
      <c r="E94" s="279"/>
    </row>
    <row r="95" spans="2:5" ht="25.9" thickBot="1" x14ac:dyDescent="0.4">
      <c r="B95" s="319" t="s">
        <v>61</v>
      </c>
      <c r="C95" s="320" t="s">
        <v>66</v>
      </c>
      <c r="D95" s="320" t="s">
        <v>67</v>
      </c>
      <c r="E95" s="321" t="s">
        <v>68</v>
      </c>
    </row>
    <row r="96" spans="2:5" ht="13.9" thickBot="1" x14ac:dyDescent="0.4">
      <c r="B96" s="322" t="s">
        <v>69</v>
      </c>
      <c r="C96" s="323" t="s">
        <v>70</v>
      </c>
      <c r="D96" s="324">
        <v>50000000</v>
      </c>
      <c r="E96" s="325">
        <v>0.1</v>
      </c>
    </row>
    <row r="97" spans="2:6" ht="13.9" thickBot="1" x14ac:dyDescent="0.4">
      <c r="B97" s="322" t="s">
        <v>71</v>
      </c>
      <c r="C97" s="323" t="s">
        <v>70</v>
      </c>
      <c r="D97" s="324">
        <v>25000000</v>
      </c>
      <c r="E97" s="325">
        <v>0.5</v>
      </c>
    </row>
    <row r="98" spans="2:6" ht="13.9" thickBot="1" x14ac:dyDescent="0.4">
      <c r="B98" s="322" t="s">
        <v>72</v>
      </c>
      <c r="C98" s="323" t="s">
        <v>70</v>
      </c>
      <c r="D98" s="324">
        <v>20000000</v>
      </c>
      <c r="E98" s="325">
        <v>0.31</v>
      </c>
    </row>
    <row r="99" spans="2:6" ht="13.9" thickBot="1" x14ac:dyDescent="0.4">
      <c r="B99" s="322" t="s">
        <v>73</v>
      </c>
      <c r="C99" s="323" t="s">
        <v>70</v>
      </c>
      <c r="D99" s="324">
        <v>30000000</v>
      </c>
      <c r="E99" s="325">
        <v>0.31</v>
      </c>
    </row>
    <row r="100" spans="2:6" ht="13.9" thickBot="1" x14ac:dyDescent="0.4">
      <c r="B100" s="322" t="s">
        <v>74</v>
      </c>
      <c r="C100" s="323" t="s">
        <v>70</v>
      </c>
      <c r="D100" s="324">
        <v>50000000</v>
      </c>
      <c r="E100" s="325">
        <v>0.49</v>
      </c>
    </row>
    <row r="101" spans="2:6" x14ac:dyDescent="0.35">
      <c r="B101" s="153"/>
    </row>
    <row r="102" spans="2:6" x14ac:dyDescent="0.35">
      <c r="B102" s="328" t="s">
        <v>192</v>
      </c>
      <c r="C102" s="329"/>
      <c r="D102" s="329"/>
      <c r="E102" s="330"/>
    </row>
    <row r="103" spans="2:6" x14ac:dyDescent="0.35">
      <c r="B103" s="331"/>
      <c r="C103" s="332"/>
      <c r="D103" s="332"/>
      <c r="E103" s="333"/>
    </row>
    <row r="104" spans="2:6" x14ac:dyDescent="0.35">
      <c r="B104" s="334"/>
      <c r="C104" s="334"/>
      <c r="D104" s="334"/>
      <c r="E104" s="334"/>
    </row>
    <row r="105" spans="2:6" x14ac:dyDescent="0.35">
      <c r="B105" s="334" t="s">
        <v>191</v>
      </c>
      <c r="C105" s="335">
        <v>95000000</v>
      </c>
      <c r="D105" s="336">
        <f>+C105*1.1</f>
        <v>104500000.00000001</v>
      </c>
      <c r="E105" s="334"/>
    </row>
    <row r="106" spans="2:6" ht="13.9" thickBot="1" x14ac:dyDescent="0.4">
      <c r="B106" s="334"/>
      <c r="C106" s="334" t="s">
        <v>137</v>
      </c>
      <c r="D106" s="335">
        <v>24000000</v>
      </c>
      <c r="E106" s="334"/>
    </row>
    <row r="107" spans="2:6" ht="13.9" thickBot="1" x14ac:dyDescent="0.4">
      <c r="B107" s="334"/>
      <c r="C107" s="326" t="str">
        <f>+B105</f>
        <v>Pérdida Tributaria</v>
      </c>
      <c r="D107" s="327">
        <f>+D105-D106</f>
        <v>80500000.000000015</v>
      </c>
      <c r="E107" s="334"/>
    </row>
    <row r="108" spans="2:6" ht="13.9" thickBot="1" x14ac:dyDescent="0.4">
      <c r="B108" s="150"/>
    </row>
    <row r="109" spans="2:6" x14ac:dyDescent="0.35">
      <c r="B109" s="242" t="s">
        <v>194</v>
      </c>
      <c r="C109" s="243"/>
      <c r="D109" s="243"/>
      <c r="E109" s="243"/>
      <c r="F109" s="244"/>
    </row>
    <row r="110" spans="2:6" ht="13.9" thickBot="1" x14ac:dyDescent="0.4">
      <c r="B110" s="280"/>
      <c r="C110" s="281"/>
      <c r="D110" s="281"/>
      <c r="E110" s="281"/>
      <c r="F110" s="282"/>
    </row>
    <row r="111" spans="2:6" ht="13.9" thickBot="1" x14ac:dyDescent="0.4">
      <c r="B111" s="150"/>
    </row>
    <row r="112" spans="2:6" x14ac:dyDescent="0.35">
      <c r="B112" s="339" t="s">
        <v>196</v>
      </c>
      <c r="C112" s="340"/>
      <c r="D112" s="340"/>
      <c r="E112" s="340"/>
      <c r="F112" s="341"/>
    </row>
    <row r="113" spans="2:6" ht="13.9" thickBot="1" x14ac:dyDescent="0.4">
      <c r="B113" s="342"/>
      <c r="C113" s="343"/>
      <c r="D113" s="343"/>
      <c r="E113" s="343"/>
      <c r="F113" s="344"/>
    </row>
    <row r="114" spans="2:6" ht="13.9" thickBot="1" x14ac:dyDescent="0.4">
      <c r="B114" s="213"/>
      <c r="C114" s="337"/>
      <c r="D114" s="212"/>
      <c r="E114" s="212"/>
      <c r="F114" s="212"/>
    </row>
    <row r="115" spans="2:6" ht="13.9" thickBot="1" x14ac:dyDescent="0.4">
      <c r="B115" s="213">
        <f>+C41</f>
        <v>1170000000</v>
      </c>
      <c r="C115" s="338">
        <f>+B115*0.01</f>
        <v>11700000</v>
      </c>
      <c r="D115" s="212"/>
      <c r="E115" s="212"/>
      <c r="F115" s="212"/>
    </row>
  </sheetData>
  <mergeCells count="14">
    <mergeCell ref="B102:E103"/>
    <mergeCell ref="B109:F110"/>
    <mergeCell ref="B112:F113"/>
    <mergeCell ref="C91:E91"/>
    <mergeCell ref="B68:F71"/>
    <mergeCell ref="B90:E90"/>
    <mergeCell ref="B2:F2"/>
    <mergeCell ref="B82:E82"/>
    <mergeCell ref="B84:E84"/>
    <mergeCell ref="B86:E86"/>
    <mergeCell ref="B88:E88"/>
    <mergeCell ref="B52:E53"/>
    <mergeCell ref="B73:F74"/>
    <mergeCell ref="B76:F7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4BBB-087A-4AF0-9313-83736F1EC8CA}">
  <dimension ref="B1:I37"/>
  <sheetViews>
    <sheetView showGridLines="0" topLeftCell="C21" zoomScale="130" zoomScaleNormal="130" workbookViewId="0">
      <selection activeCell="D13" sqref="D13"/>
    </sheetView>
  </sheetViews>
  <sheetFormatPr baseColWidth="10" defaultColWidth="11.53125" defaultRowHeight="13.5" x14ac:dyDescent="0.35"/>
  <cols>
    <col min="1" max="1" width="1.6640625" style="47" customWidth="1"/>
    <col min="2" max="2" width="51.59765625" style="47" customWidth="1"/>
    <col min="3" max="3" width="21.53125" style="47" customWidth="1"/>
    <col min="4" max="4" width="22.86328125" style="47" customWidth="1"/>
    <col min="5" max="5" width="23.19921875" style="47" customWidth="1"/>
    <col min="6" max="8" width="11.53125" style="47"/>
    <col min="9" max="9" width="18.86328125" style="47" customWidth="1"/>
    <col min="10" max="16384" width="11.53125" style="47"/>
  </cols>
  <sheetData>
    <row r="1" spans="2:5" ht="13.9" thickBot="1" x14ac:dyDescent="0.4"/>
    <row r="2" spans="2:5" x14ac:dyDescent="0.35">
      <c r="B2" s="168" t="s">
        <v>97</v>
      </c>
      <c r="C2" s="169"/>
      <c r="D2" s="169"/>
      <c r="E2" s="170"/>
    </row>
    <row r="3" spans="2:5" x14ac:dyDescent="0.35">
      <c r="B3" s="171"/>
      <c r="C3" s="172"/>
      <c r="D3" s="172"/>
      <c r="E3" s="173"/>
    </row>
    <row r="4" spans="2:5" ht="13.9" thickBot="1" x14ac:dyDescent="0.4">
      <c r="B4" s="174"/>
      <c r="C4" s="175"/>
      <c r="D4" s="175"/>
      <c r="E4" s="176"/>
    </row>
    <row r="5" spans="2:5" ht="15.4" thickBot="1" x14ac:dyDescent="0.45">
      <c r="B5" s="48"/>
      <c r="C5" s="49"/>
      <c r="D5" s="49"/>
      <c r="E5" s="49"/>
    </row>
    <row r="6" spans="2:5" ht="15.4" thickBot="1" x14ac:dyDescent="0.4">
      <c r="B6" s="177" t="s">
        <v>0</v>
      </c>
      <c r="C6" s="50">
        <v>2023</v>
      </c>
      <c r="D6" s="50">
        <v>2022</v>
      </c>
      <c r="E6" s="50">
        <v>2021</v>
      </c>
    </row>
    <row r="7" spans="2:5" ht="15.4" thickBot="1" x14ac:dyDescent="0.4">
      <c r="B7" s="178"/>
      <c r="C7" s="51" t="s">
        <v>98</v>
      </c>
      <c r="D7" s="51" t="s">
        <v>98</v>
      </c>
      <c r="E7" s="51" t="s">
        <v>98</v>
      </c>
    </row>
    <row r="8" spans="2:5" ht="15.4" thickBot="1" x14ac:dyDescent="0.4">
      <c r="B8" s="52" t="s">
        <v>99</v>
      </c>
      <c r="C8" s="53">
        <f>+'Bce Final'!F39</f>
        <v>180000000</v>
      </c>
      <c r="D8" s="53">
        <f>+'Bce Final'!F40</f>
        <v>140000000</v>
      </c>
      <c r="E8" s="211">
        <f>+'Bce Final'!F41</f>
        <v>-85000000</v>
      </c>
    </row>
    <row r="9" spans="2:5" ht="15.4" thickBot="1" x14ac:dyDescent="0.4">
      <c r="B9" s="52" t="s">
        <v>100</v>
      </c>
      <c r="C9" s="53">
        <f>+'Bce Final'!C37</f>
        <v>1262037168</v>
      </c>
      <c r="D9" s="53"/>
      <c r="E9" s="53"/>
    </row>
    <row r="10" spans="2:5" ht="15.4" thickBot="1" x14ac:dyDescent="0.4">
      <c r="B10" s="52" t="s">
        <v>101</v>
      </c>
      <c r="C10" s="53">
        <f>+'Bce Final'!C39</f>
        <v>1200000000</v>
      </c>
      <c r="D10" s="53"/>
      <c r="E10" s="53"/>
    </row>
    <row r="11" spans="2:5" ht="15" x14ac:dyDescent="0.4">
      <c r="B11" s="48"/>
      <c r="C11" s="49"/>
      <c r="D11" s="49"/>
      <c r="E11" s="49"/>
    </row>
    <row r="12" spans="2:5" ht="15" x14ac:dyDescent="0.4">
      <c r="B12" s="54" t="s">
        <v>111</v>
      </c>
      <c r="C12" s="49"/>
      <c r="D12" s="49"/>
      <c r="E12" s="49"/>
    </row>
    <row r="13" spans="2:5" ht="15.4" thickBot="1" x14ac:dyDescent="0.45">
      <c r="B13" s="48"/>
      <c r="C13" s="49"/>
      <c r="D13" s="49"/>
      <c r="E13" s="49"/>
    </row>
    <row r="14" spans="2:5" ht="15.4" thickBot="1" x14ac:dyDescent="0.4">
      <c r="B14" s="55" t="s">
        <v>102</v>
      </c>
      <c r="C14" s="56" t="s">
        <v>67</v>
      </c>
      <c r="D14" s="50" t="s">
        <v>79</v>
      </c>
      <c r="E14" s="56" t="s">
        <v>103</v>
      </c>
    </row>
    <row r="15" spans="2:5" x14ac:dyDescent="0.35">
      <c r="B15" s="179" t="s">
        <v>104</v>
      </c>
      <c r="C15" s="181">
        <f>+C8</f>
        <v>180000000</v>
      </c>
      <c r="D15" s="183">
        <v>0.05</v>
      </c>
      <c r="E15" s="185"/>
    </row>
    <row r="16" spans="2:5" ht="13.9" thickBot="1" x14ac:dyDescent="0.4">
      <c r="B16" s="180"/>
      <c r="C16" s="182"/>
      <c r="D16" s="184"/>
      <c r="E16" s="186"/>
    </row>
    <row r="17" spans="2:9" x14ac:dyDescent="0.35">
      <c r="B17" s="179" t="s">
        <v>100</v>
      </c>
      <c r="C17" s="181">
        <f>+C9</f>
        <v>1262037168</v>
      </c>
      <c r="D17" s="196">
        <v>5.0000000000000001E-3</v>
      </c>
      <c r="E17" s="185">
        <f>+C17*D17</f>
        <v>6310185.8399999999</v>
      </c>
    </row>
    <row r="18" spans="2:9" ht="13.9" thickBot="1" x14ac:dyDescent="0.4">
      <c r="B18" s="180"/>
      <c r="C18" s="182"/>
      <c r="D18" s="184"/>
      <c r="E18" s="186"/>
    </row>
    <row r="19" spans="2:9" ht="13.5" customHeight="1" x14ac:dyDescent="0.35">
      <c r="B19" s="179" t="s">
        <v>105</v>
      </c>
      <c r="C19" s="185">
        <f>+C10</f>
        <v>1200000000</v>
      </c>
      <c r="D19" s="196">
        <v>5.0000000000000001E-3</v>
      </c>
      <c r="E19" s="185"/>
    </row>
    <row r="20" spans="2:9" ht="13.9" customHeight="1" thickBot="1" x14ac:dyDescent="0.4">
      <c r="B20" s="180"/>
      <c r="C20" s="186"/>
      <c r="D20" s="184"/>
      <c r="E20" s="186"/>
    </row>
    <row r="21" spans="2:9" ht="15" x14ac:dyDescent="0.4">
      <c r="B21" s="48"/>
      <c r="C21" s="49"/>
      <c r="D21" s="49"/>
      <c r="E21" s="49"/>
    </row>
    <row r="22" spans="2:9" ht="15" x14ac:dyDescent="0.4">
      <c r="B22" s="54" t="s">
        <v>106</v>
      </c>
      <c r="C22" s="49"/>
      <c r="D22" s="49"/>
      <c r="E22" s="49"/>
    </row>
    <row r="23" spans="2:9" ht="15.4" thickBot="1" x14ac:dyDescent="0.45">
      <c r="B23" s="48"/>
      <c r="C23" s="49"/>
      <c r="D23" s="49"/>
      <c r="E23" s="49"/>
    </row>
    <row r="24" spans="2:9" x14ac:dyDescent="0.35">
      <c r="B24" s="187" t="s">
        <v>143</v>
      </c>
      <c r="C24" s="188"/>
      <c r="D24" s="188"/>
      <c r="E24" s="189"/>
    </row>
    <row r="25" spans="2:9" x14ac:dyDescent="0.35">
      <c r="B25" s="190"/>
      <c r="C25" s="191"/>
      <c r="D25" s="191"/>
      <c r="E25" s="192"/>
    </row>
    <row r="26" spans="2:9" x14ac:dyDescent="0.35">
      <c r="B26" s="190"/>
      <c r="C26" s="191"/>
      <c r="D26" s="191"/>
      <c r="E26" s="192"/>
    </row>
    <row r="27" spans="2:9" ht="13.9" thickBot="1" x14ac:dyDescent="0.4">
      <c r="B27" s="193"/>
      <c r="C27" s="194"/>
      <c r="D27" s="194"/>
      <c r="E27" s="195"/>
    </row>
    <row r="28" spans="2:9" ht="15" x14ac:dyDescent="0.4">
      <c r="B28" s="48"/>
      <c r="C28" s="49"/>
      <c r="D28" s="49"/>
      <c r="E28" s="49"/>
    </row>
    <row r="29" spans="2:9" ht="15.4" thickBot="1" x14ac:dyDescent="0.45">
      <c r="B29" s="57" t="s">
        <v>112</v>
      </c>
      <c r="C29" s="49"/>
      <c r="D29" s="49"/>
      <c r="E29" s="49"/>
    </row>
    <row r="30" spans="2:9" ht="15.4" thickBot="1" x14ac:dyDescent="0.45">
      <c r="B30" s="48"/>
      <c r="C30" s="49"/>
      <c r="D30" s="49"/>
      <c r="E30" s="49"/>
      <c r="H30" s="214" t="s">
        <v>145</v>
      </c>
      <c r="I30" s="215"/>
    </row>
    <row r="31" spans="2:9" ht="15.4" thickBot="1" x14ac:dyDescent="0.4">
      <c r="B31" s="58" t="s">
        <v>102</v>
      </c>
      <c r="C31" s="50" t="s">
        <v>67</v>
      </c>
      <c r="D31" s="50" t="s">
        <v>79</v>
      </c>
      <c r="E31" s="50" t="s">
        <v>107</v>
      </c>
      <c r="H31" s="216"/>
      <c r="I31" s="217"/>
    </row>
    <row r="32" spans="2:9" ht="15.4" thickBot="1" x14ac:dyDescent="0.4">
      <c r="B32" s="59" t="s">
        <v>118</v>
      </c>
      <c r="C32" s="60">
        <f>+E17</f>
        <v>6310185.8399999999</v>
      </c>
      <c r="D32" s="61">
        <v>0.75</v>
      </c>
      <c r="E32" s="164">
        <f>+C32*D32</f>
        <v>4732639.38</v>
      </c>
      <c r="G32" s="212" t="s">
        <v>144</v>
      </c>
      <c r="H32" s="218">
        <f>+E17</f>
        <v>6310185.8399999999</v>
      </c>
      <c r="I32" s="217"/>
    </row>
    <row r="33" spans="2:9" ht="15" x14ac:dyDescent="0.4">
      <c r="B33" s="48"/>
      <c r="C33" s="49"/>
      <c r="D33" s="49"/>
      <c r="E33" s="49"/>
      <c r="G33" s="47" t="s">
        <v>107</v>
      </c>
      <c r="H33" s="219">
        <f>+E32</f>
        <v>4732639.38</v>
      </c>
      <c r="I33" s="217" t="s">
        <v>146</v>
      </c>
    </row>
    <row r="34" spans="2:9" ht="15" x14ac:dyDescent="0.4">
      <c r="B34" s="57" t="s">
        <v>113</v>
      </c>
      <c r="C34" s="49"/>
      <c r="D34" s="49"/>
      <c r="E34" s="49"/>
      <c r="G34" s="47" t="s">
        <v>108</v>
      </c>
      <c r="H34" s="220">
        <f>+E37</f>
        <v>315509.29200000002</v>
      </c>
      <c r="I34" s="217"/>
    </row>
    <row r="35" spans="2:9" ht="15.4" thickBot="1" x14ac:dyDescent="0.45">
      <c r="B35" s="48"/>
      <c r="C35" s="49"/>
      <c r="D35" s="49"/>
      <c r="E35" s="49"/>
      <c r="H35" s="216"/>
      <c r="I35" s="217"/>
    </row>
    <row r="36" spans="2:9" ht="15.4" thickBot="1" x14ac:dyDescent="0.4">
      <c r="B36" s="58" t="s">
        <v>102</v>
      </c>
      <c r="C36" s="50" t="s">
        <v>67</v>
      </c>
      <c r="D36" s="50" t="s">
        <v>79</v>
      </c>
      <c r="E36" s="50" t="s">
        <v>108</v>
      </c>
      <c r="H36" s="221" t="s">
        <v>147</v>
      </c>
      <c r="I36" s="222"/>
    </row>
    <row r="37" spans="2:9" ht="15.4" thickBot="1" x14ac:dyDescent="0.4">
      <c r="B37" s="59" t="str">
        <f>+B32</f>
        <v>Materialidad</v>
      </c>
      <c r="C37" s="60">
        <f>+C32</f>
        <v>6310185.8399999999</v>
      </c>
      <c r="D37" s="61">
        <v>0.05</v>
      </c>
      <c r="E37" s="60">
        <f>+C37*D37</f>
        <v>315509.29200000002</v>
      </c>
    </row>
  </sheetData>
  <mergeCells count="15">
    <mergeCell ref="B24:E27"/>
    <mergeCell ref="B17:B18"/>
    <mergeCell ref="C17:C18"/>
    <mergeCell ref="D17:D18"/>
    <mergeCell ref="E17:E18"/>
    <mergeCell ref="B19:B20"/>
    <mergeCell ref="C19:C20"/>
    <mergeCell ref="D19:D20"/>
    <mergeCell ref="E19:E20"/>
    <mergeCell ref="B2:E4"/>
    <mergeCell ref="B6:B7"/>
    <mergeCell ref="B15:B16"/>
    <mergeCell ref="C15:C16"/>
    <mergeCell ref="D15:D16"/>
    <mergeCell ref="E15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C3F5-0BB1-456E-891A-F3F238C1A295}">
  <dimension ref="B2:J29"/>
  <sheetViews>
    <sheetView zoomScale="120" zoomScaleNormal="120" workbookViewId="0">
      <pane ySplit="4" topLeftCell="A19" activePane="bottomLeft" state="frozen"/>
      <selection pane="bottomLeft" activeCell="F29" sqref="F29"/>
    </sheetView>
  </sheetViews>
  <sheetFormatPr baseColWidth="10" defaultColWidth="10.86328125" defaultRowHeight="15" x14ac:dyDescent="0.4"/>
  <cols>
    <col min="1" max="1" width="1.53125" style="2" customWidth="1"/>
    <col min="2" max="2" width="7.46484375" style="2" customWidth="1"/>
    <col min="3" max="3" width="30" style="2" bestFit="1" customWidth="1"/>
    <col min="4" max="5" width="19.6640625" style="5" customWidth="1"/>
    <col min="6" max="6" width="15.33203125" style="5" bestFit="1" customWidth="1"/>
    <col min="7" max="8" width="19.6640625" style="5" customWidth="1"/>
    <col min="9" max="9" width="6.19921875" style="132" customWidth="1"/>
    <col min="10" max="16384" width="10.86328125" style="2"/>
  </cols>
  <sheetData>
    <row r="2" spans="2:9" s="3" customFormat="1" x14ac:dyDescent="0.4">
      <c r="B2" s="1"/>
      <c r="C2" s="1"/>
      <c r="D2" s="4"/>
      <c r="E2" s="4"/>
      <c r="F2" s="4"/>
      <c r="G2" s="198" t="s">
        <v>11</v>
      </c>
      <c r="H2" s="198"/>
      <c r="I2" s="129"/>
    </row>
    <row r="3" spans="2:9" s="3" customFormat="1" x14ac:dyDescent="0.4">
      <c r="B3" s="1"/>
      <c r="C3" s="1"/>
      <c r="D3" s="4"/>
      <c r="E3" s="4"/>
      <c r="F3" s="4"/>
      <c r="G3" s="197">
        <v>0.27</v>
      </c>
      <c r="H3" s="198"/>
      <c r="I3" s="129"/>
    </row>
    <row r="4" spans="2:9" s="3" customFormat="1" x14ac:dyDescent="0.4">
      <c r="B4" s="62" t="s">
        <v>5</v>
      </c>
      <c r="C4" s="62" t="s">
        <v>0</v>
      </c>
      <c r="D4" s="46" t="s">
        <v>6</v>
      </c>
      <c r="E4" s="46" t="s">
        <v>7</v>
      </c>
      <c r="F4" s="46" t="s">
        <v>8</v>
      </c>
      <c r="G4" s="46" t="s">
        <v>9</v>
      </c>
      <c r="H4" s="46" t="s">
        <v>10</v>
      </c>
      <c r="I4" s="129"/>
    </row>
    <row r="5" spans="2:9" x14ac:dyDescent="0.4">
      <c r="B5" s="63">
        <v>1</v>
      </c>
      <c r="C5" s="75" t="str">
        <f>+'Bce Final'!E19</f>
        <v>Provisión Gratificaciones</v>
      </c>
      <c r="D5" s="64">
        <f>+'Bce Final'!F19</f>
        <v>22000000</v>
      </c>
      <c r="E5" s="64">
        <f>+D5</f>
        <v>22000000</v>
      </c>
      <c r="F5" s="64">
        <f>+D5-E5</f>
        <v>0</v>
      </c>
      <c r="G5" s="226"/>
      <c r="H5" s="226"/>
      <c r="I5" s="130"/>
    </row>
    <row r="6" spans="2:9" x14ac:dyDescent="0.4">
      <c r="B6" s="63">
        <v>2</v>
      </c>
      <c r="C6" s="75" t="str">
        <f>+'Bce Final'!E18</f>
        <v>PIAS</v>
      </c>
      <c r="D6" s="64">
        <f>+'Bce Final'!F18</f>
        <v>42000000</v>
      </c>
      <c r="E6" s="64">
        <v>0</v>
      </c>
      <c r="F6" s="64">
        <f>+D6</f>
        <v>42000000</v>
      </c>
      <c r="G6" s="64">
        <f>ROUND(+F6*$G$3,0)</f>
        <v>11340000</v>
      </c>
      <c r="H6" s="64"/>
      <c r="I6" s="130"/>
    </row>
    <row r="7" spans="2:9" x14ac:dyDescent="0.4">
      <c r="B7" s="63">
        <v>3</v>
      </c>
      <c r="C7" s="75" t="str">
        <f>+'Bce Final'!E14</f>
        <v>Provisión Reestructuración</v>
      </c>
      <c r="D7" s="64">
        <f>+'Bce Final'!G14</f>
        <v>15000000</v>
      </c>
      <c r="E7" s="64">
        <v>0</v>
      </c>
      <c r="F7" s="64">
        <f>+D7</f>
        <v>15000000</v>
      </c>
      <c r="G7" s="64">
        <f>ROUND(+F7*$G$3,0)</f>
        <v>4050000</v>
      </c>
      <c r="H7" s="64"/>
      <c r="I7" s="130"/>
    </row>
    <row r="8" spans="2:9" x14ac:dyDescent="0.4">
      <c r="B8" s="63">
        <v>4</v>
      </c>
      <c r="C8" s="75" t="str">
        <f>+Leasing!D26</f>
        <v>Activo en leasing</v>
      </c>
      <c r="D8" s="64">
        <f>+Leasing!G30</f>
        <v>2944120</v>
      </c>
      <c r="E8" s="64">
        <v>0</v>
      </c>
      <c r="F8" s="64">
        <f>+D8-E8</f>
        <v>2944120</v>
      </c>
      <c r="G8" s="64"/>
      <c r="H8" s="64">
        <f>ROUND(+F8*$G$3,0)</f>
        <v>794912</v>
      </c>
      <c r="I8" s="130"/>
    </row>
    <row r="9" spans="2:9" x14ac:dyDescent="0.4">
      <c r="B9" s="63">
        <v>5</v>
      </c>
      <c r="C9" s="75" t="s">
        <v>182</v>
      </c>
      <c r="D9" s="64"/>
      <c r="E9" s="64"/>
      <c r="F9" s="64">
        <f>-'Bce Final'!C40</f>
        <v>30000000</v>
      </c>
      <c r="G9" s="64">
        <f>ROUND(+F9*$G$3,0)</f>
        <v>8100000</v>
      </c>
      <c r="H9" s="64"/>
      <c r="I9" s="130"/>
    </row>
    <row r="10" spans="2:9" x14ac:dyDescent="0.4">
      <c r="B10" s="63">
        <v>6</v>
      </c>
      <c r="C10" s="75" t="str">
        <f>+'Bce Final'!B10</f>
        <v>Deterioro Cuentas por Cobrar</v>
      </c>
      <c r="D10" s="303">
        <f>+'Deterioro cx'!K13</f>
        <v>32907800</v>
      </c>
      <c r="E10" s="64">
        <v>60000000</v>
      </c>
      <c r="F10" s="64">
        <f>+E10-D10</f>
        <v>27092200</v>
      </c>
      <c r="G10" s="64"/>
      <c r="H10" s="64">
        <f>ROUND(+F10*$G$3,0)</f>
        <v>7314894</v>
      </c>
      <c r="I10" s="130"/>
    </row>
    <row r="11" spans="2:9" x14ac:dyDescent="0.4">
      <c r="B11" s="63">
        <v>7</v>
      </c>
      <c r="C11" s="75" t="str">
        <f>+'Bce Final'!B22</f>
        <v>Maquinarias</v>
      </c>
      <c r="D11" s="64">
        <f>+'Bce Final'!C22+'Bce Final'!C23</f>
        <v>80000000</v>
      </c>
      <c r="E11" s="64">
        <f>+'Bce Final'!E83</f>
        <v>110000000</v>
      </c>
      <c r="F11" s="64">
        <f>+E11-D11</f>
        <v>30000000</v>
      </c>
      <c r="G11" s="64">
        <f>ROUND(+F11*$G$3,0)</f>
        <v>8100000</v>
      </c>
      <c r="H11" s="64"/>
      <c r="I11" s="130"/>
    </row>
    <row r="12" spans="2:9" x14ac:dyDescent="0.4">
      <c r="B12" s="63">
        <v>8</v>
      </c>
      <c r="C12" s="75" t="str">
        <f>+'Bce Final'!B24</f>
        <v>Edificios</v>
      </c>
      <c r="D12" s="64">
        <f>+'Bce Final'!C24+'Bce Final'!C25</f>
        <v>240000000</v>
      </c>
      <c r="E12" s="64">
        <f>+'Bce Final'!E85</f>
        <v>250000000</v>
      </c>
      <c r="F12" s="64">
        <f>+E12-D12</f>
        <v>10000000</v>
      </c>
      <c r="G12" s="64">
        <f>ROUND(+F12*$G$3,0)</f>
        <v>2700000</v>
      </c>
      <c r="H12" s="64"/>
      <c r="I12" s="130"/>
    </row>
    <row r="13" spans="2:9" x14ac:dyDescent="0.4">
      <c r="B13" s="63">
        <v>9</v>
      </c>
      <c r="C13" s="75" t="str">
        <f>+'Bce Final'!B26</f>
        <v>Terrenos</v>
      </c>
      <c r="D13" s="64">
        <f>+'Bce Final'!C26</f>
        <v>150000000</v>
      </c>
      <c r="E13" s="64">
        <f>+'Bce Final'!E87</f>
        <v>50000000</v>
      </c>
      <c r="F13" s="64">
        <f>+D13-E13</f>
        <v>100000000</v>
      </c>
      <c r="G13" s="64"/>
      <c r="H13" s="64">
        <f>ROUND(+F13*$G$3,0)</f>
        <v>27000000</v>
      </c>
      <c r="I13" s="130"/>
    </row>
    <row r="14" spans="2:9" x14ac:dyDescent="0.4">
      <c r="B14" s="63">
        <v>10</v>
      </c>
      <c r="C14" s="75" t="str">
        <f>+'Bce Final'!B19</f>
        <v>Software</v>
      </c>
      <c r="D14" s="64">
        <f>+'Bce Final'!C19</f>
        <v>15000000</v>
      </c>
      <c r="E14" s="64" t="str">
        <f>+'Bce Final'!E89</f>
        <v>-</v>
      </c>
      <c r="F14" s="64">
        <f>+D14</f>
        <v>15000000</v>
      </c>
      <c r="G14" s="64"/>
      <c r="H14" s="64">
        <f>ROUND(+F14*$G$3,0)</f>
        <v>4050000</v>
      </c>
      <c r="I14" s="130"/>
    </row>
    <row r="15" spans="2:9" x14ac:dyDescent="0.4">
      <c r="B15" s="63">
        <v>11</v>
      </c>
      <c r="C15" s="75" t="str">
        <f>+'Bce Final'!B12</f>
        <v>Existencias</v>
      </c>
      <c r="D15" s="64">
        <f>+'Bce Final'!C12</f>
        <v>130000000</v>
      </c>
      <c r="E15" s="64">
        <f>+'Bce Final'!C91</f>
        <v>100000000</v>
      </c>
      <c r="F15" s="64">
        <f>+D15-E15</f>
        <v>30000000</v>
      </c>
      <c r="G15" s="64"/>
      <c r="H15" s="64">
        <f>ROUND(+F15*$G$3,0)</f>
        <v>8100000</v>
      </c>
      <c r="I15" s="130"/>
    </row>
    <row r="16" spans="2:9" x14ac:dyDescent="0.4">
      <c r="B16" s="63">
        <v>12</v>
      </c>
      <c r="C16" s="75" t="str">
        <f>+'Bce Final'!C107</f>
        <v>Pérdida Tributaria</v>
      </c>
      <c r="D16" s="64"/>
      <c r="E16" s="64"/>
      <c r="F16" s="64">
        <f>+'Bce Final'!D107</f>
        <v>80500000.000000015</v>
      </c>
      <c r="G16" s="64">
        <f>ROUND(+F16*$G$3,0)</f>
        <v>21735000</v>
      </c>
      <c r="H16" s="64"/>
      <c r="I16" s="130"/>
    </row>
    <row r="17" spans="2:10" x14ac:dyDescent="0.4">
      <c r="B17" s="63">
        <v>13</v>
      </c>
      <c r="C17" s="75" t="s">
        <v>195</v>
      </c>
      <c r="D17" s="64">
        <v>0</v>
      </c>
      <c r="E17" s="64">
        <v>40000000</v>
      </c>
      <c r="F17" s="64">
        <f>+E17-D17</f>
        <v>40000000</v>
      </c>
      <c r="G17" s="64">
        <f>ROUND(+F17*$G$3,0)</f>
        <v>10800000</v>
      </c>
      <c r="H17" s="64"/>
      <c r="I17" s="130"/>
    </row>
    <row r="18" spans="2:10" x14ac:dyDescent="0.4">
      <c r="B18" s="63">
        <v>14</v>
      </c>
      <c r="C18" s="75" t="str">
        <f>+'Bce Final'!E16</f>
        <v>Provisión medioambiental</v>
      </c>
      <c r="D18" s="64">
        <f>+'Bce Final'!G16</f>
        <v>11700000</v>
      </c>
      <c r="E18" s="64">
        <v>0</v>
      </c>
      <c r="F18" s="64">
        <f>+D18</f>
        <v>11700000</v>
      </c>
      <c r="G18" s="64">
        <f>ROUND(+F18*$G$3,0)</f>
        <v>3159000</v>
      </c>
      <c r="H18" s="64"/>
      <c r="I18" s="130"/>
    </row>
    <row r="19" spans="2:10" x14ac:dyDescent="0.4">
      <c r="B19" s="63">
        <v>15</v>
      </c>
      <c r="C19" s="75" t="str">
        <f>+'Bce Final'!E9</f>
        <v xml:space="preserve">Prov. Vacaciones </v>
      </c>
      <c r="D19" s="64">
        <f>+'Bce Final'!F9</f>
        <v>12000000</v>
      </c>
      <c r="E19" s="64">
        <v>0</v>
      </c>
      <c r="F19" s="64">
        <f>+D19</f>
        <v>12000000</v>
      </c>
      <c r="G19" s="64">
        <f>ROUND(+F19*$G$3,0)</f>
        <v>3240000</v>
      </c>
      <c r="H19" s="64"/>
      <c r="I19" s="130"/>
    </row>
    <row r="20" spans="2:10" x14ac:dyDescent="0.4">
      <c r="B20" s="63">
        <v>16</v>
      </c>
      <c r="C20" s="75" t="str">
        <f>+'Bce Final'!E11</f>
        <v>Prov. Servicios Básicos</v>
      </c>
      <c r="D20" s="64">
        <f>+'Bce Final'!F11</f>
        <v>6500000</v>
      </c>
      <c r="E20" s="64">
        <f>+D20</f>
        <v>6500000</v>
      </c>
      <c r="F20" s="64"/>
      <c r="G20" s="64"/>
      <c r="H20" s="64"/>
      <c r="I20" s="130"/>
    </row>
    <row r="21" spans="2:10" x14ac:dyDescent="0.4">
      <c r="B21" s="65"/>
      <c r="C21" s="66"/>
      <c r="D21" s="66"/>
      <c r="E21" s="66"/>
      <c r="F21" s="66"/>
      <c r="G21" s="67">
        <f>SUM(G5:G20)</f>
        <v>73224000</v>
      </c>
      <c r="H21" s="67">
        <f>SUM(H5:H20)</f>
        <v>47259806</v>
      </c>
      <c r="I21" s="131"/>
    </row>
    <row r="22" spans="2:10" ht="15.4" thickBot="1" x14ac:dyDescent="0.45"/>
    <row r="23" spans="2:10" ht="15.4" thickBot="1" x14ac:dyDescent="0.45">
      <c r="E23" s="199" t="s">
        <v>109</v>
      </c>
      <c r="F23" s="200"/>
      <c r="G23" s="68">
        <f>+'Bce Final'!C33</f>
        <v>54500000</v>
      </c>
      <c r="H23" s="68">
        <f>+'Bce Final'!F25</f>
        <v>180000000</v>
      </c>
      <c r="I23" s="133"/>
    </row>
    <row r="24" spans="2:10" ht="15.4" thickBot="1" x14ac:dyDescent="0.45"/>
    <row r="25" spans="2:10" ht="15.4" thickBot="1" x14ac:dyDescent="0.45">
      <c r="E25" s="358" t="s">
        <v>110</v>
      </c>
      <c r="F25" s="359"/>
      <c r="G25" s="360">
        <f>+G21-G23</f>
        <v>18724000</v>
      </c>
      <c r="H25" s="360">
        <f>+H21-H23</f>
        <v>-132740194</v>
      </c>
      <c r="I25" s="133"/>
    </row>
    <row r="29" spans="2:10" x14ac:dyDescent="0.4">
      <c r="J29" s="134"/>
    </row>
  </sheetData>
  <mergeCells count="4">
    <mergeCell ref="G3:H3"/>
    <mergeCell ref="G2:H2"/>
    <mergeCell ref="E23:F23"/>
    <mergeCell ref="E25:F25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5080-9E85-4AA5-BD30-AED3C53030A6}">
  <dimension ref="B1:G45"/>
  <sheetViews>
    <sheetView zoomScale="110" zoomScaleNormal="110" workbookViewId="0">
      <pane ySplit="3" topLeftCell="A4" activePane="bottomLeft" state="frozen"/>
      <selection pane="bottomLeft" activeCell="D5" sqref="D5"/>
    </sheetView>
  </sheetViews>
  <sheetFormatPr baseColWidth="10" defaultColWidth="10.86328125" defaultRowHeight="15" x14ac:dyDescent="0.4"/>
  <cols>
    <col min="1" max="1" width="6" style="2" customWidth="1"/>
    <col min="2" max="2" width="13.33203125" style="6" bestFit="1" customWidth="1"/>
    <col min="3" max="3" width="25.1328125" style="7" customWidth="1"/>
    <col min="4" max="4" width="16.6640625" style="2" customWidth="1"/>
    <col min="5" max="5" width="29.19921875" style="8" customWidth="1"/>
    <col min="6" max="7" width="18.53125" style="6" bestFit="1" customWidth="1"/>
    <col min="8" max="16384" width="10.86328125" style="2"/>
  </cols>
  <sheetData>
    <row r="1" spans="2:7" x14ac:dyDescent="0.4">
      <c r="B1" s="2"/>
      <c r="C1" s="2"/>
      <c r="E1" s="2"/>
      <c r="F1" s="69" t="s">
        <v>134</v>
      </c>
      <c r="G1" s="69" t="s">
        <v>136</v>
      </c>
    </row>
    <row r="2" spans="2:7" ht="15.4" thickBot="1" x14ac:dyDescent="0.45">
      <c r="B2" s="2"/>
      <c r="C2" s="2"/>
      <c r="E2" s="2"/>
      <c r="F2" s="69" t="s">
        <v>135</v>
      </c>
      <c r="G2" s="69" t="s">
        <v>137</v>
      </c>
    </row>
    <row r="3" spans="2:7" ht="15.4" thickBot="1" x14ac:dyDescent="0.45">
      <c r="B3" s="70" t="s">
        <v>1</v>
      </c>
      <c r="C3" s="201" t="s">
        <v>0</v>
      </c>
      <c r="D3" s="202"/>
      <c r="E3" s="203"/>
      <c r="F3" s="70" t="s">
        <v>2</v>
      </c>
      <c r="G3" s="70" t="s">
        <v>3</v>
      </c>
    </row>
    <row r="4" spans="2:7" x14ac:dyDescent="0.4">
      <c r="B4" s="91" t="s">
        <v>116</v>
      </c>
      <c r="C4" s="92" t="s">
        <v>4</v>
      </c>
      <c r="D4" s="93">
        <v>1</v>
      </c>
      <c r="E4" s="94" t="s">
        <v>4</v>
      </c>
      <c r="F4" s="95"/>
      <c r="G4" s="95"/>
    </row>
    <row r="5" spans="2:7" x14ac:dyDescent="0.4">
      <c r="B5" s="162" t="s">
        <v>136</v>
      </c>
      <c r="C5" s="232" t="str">
        <f>+'Bce Final'!E10</f>
        <v>Prov. Contrato de Arriendo</v>
      </c>
      <c r="D5" s="236"/>
      <c r="E5" s="233"/>
      <c r="F5" s="163">
        <f>+'Bce Final'!F10</f>
        <v>9000000</v>
      </c>
      <c r="G5" s="163"/>
    </row>
    <row r="6" spans="2:7" x14ac:dyDescent="0.4">
      <c r="B6" s="162" t="s">
        <v>135</v>
      </c>
      <c r="C6" s="232"/>
      <c r="D6" s="236" t="s">
        <v>164</v>
      </c>
      <c r="E6" s="233"/>
      <c r="F6" s="163"/>
      <c r="G6" s="163">
        <f>+F5</f>
        <v>9000000</v>
      </c>
    </row>
    <row r="7" spans="2:7" x14ac:dyDescent="0.4">
      <c r="B7" s="162"/>
      <c r="C7" s="232" t="s">
        <v>165</v>
      </c>
      <c r="D7" s="236"/>
      <c r="E7" s="233"/>
      <c r="F7" s="163"/>
      <c r="G7" s="163"/>
    </row>
    <row r="8" spans="2:7" ht="15.4" thickBot="1" x14ac:dyDescent="0.45">
      <c r="B8" s="237"/>
      <c r="C8" s="238" t="s">
        <v>166</v>
      </c>
      <c r="D8" s="239"/>
      <c r="E8" s="240"/>
      <c r="F8" s="241"/>
      <c r="G8" s="241"/>
    </row>
    <row r="9" spans="2:7" x14ac:dyDescent="0.4">
      <c r="B9" s="91" t="s">
        <v>116</v>
      </c>
      <c r="C9" s="92" t="s">
        <v>4</v>
      </c>
      <c r="D9" s="93">
        <v>2</v>
      </c>
      <c r="E9" s="94" t="s">
        <v>4</v>
      </c>
      <c r="F9" s="95"/>
      <c r="G9" s="95"/>
    </row>
    <row r="10" spans="2:7" x14ac:dyDescent="0.4">
      <c r="B10" s="162" t="s">
        <v>136</v>
      </c>
      <c r="C10" s="232" t="str">
        <f>+'Bce Final'!E14</f>
        <v>Provisión Reestructuración</v>
      </c>
      <c r="D10" s="236"/>
      <c r="E10" s="233"/>
      <c r="F10" s="163">
        <f>+'Bce Final'!H14</f>
        <v>8000000</v>
      </c>
      <c r="G10" s="163"/>
    </row>
    <row r="11" spans="2:7" x14ac:dyDescent="0.4">
      <c r="B11" s="162" t="s">
        <v>135</v>
      </c>
      <c r="C11" s="232"/>
      <c r="D11" s="236" t="s">
        <v>168</v>
      </c>
      <c r="E11" s="233"/>
      <c r="F11" s="163"/>
      <c r="G11" s="163">
        <f>+F10</f>
        <v>8000000</v>
      </c>
    </row>
    <row r="12" spans="2:7" ht="15.4" thickBot="1" x14ac:dyDescent="0.45">
      <c r="B12" s="237"/>
      <c r="C12" s="238" t="s">
        <v>169</v>
      </c>
      <c r="D12" s="239"/>
      <c r="E12" s="240"/>
      <c r="F12" s="241"/>
      <c r="G12" s="241"/>
    </row>
    <row r="13" spans="2:7" x14ac:dyDescent="0.4">
      <c r="B13" s="91" t="s">
        <v>116</v>
      </c>
      <c r="C13" s="92" t="s">
        <v>4</v>
      </c>
      <c r="D13" s="93">
        <v>3</v>
      </c>
      <c r="E13" s="94" t="s">
        <v>4</v>
      </c>
      <c r="F13" s="95"/>
      <c r="G13" s="95"/>
    </row>
    <row r="14" spans="2:7" x14ac:dyDescent="0.4">
      <c r="B14" s="162" t="s">
        <v>134</v>
      </c>
      <c r="C14" s="232" t="str">
        <f>+Leasing!D26</f>
        <v>Activo en leasing</v>
      </c>
      <c r="D14" s="236"/>
      <c r="E14" s="233"/>
      <c r="F14" s="163"/>
      <c r="G14" s="163">
        <f>-Leasing!H26</f>
        <v>85754882</v>
      </c>
    </row>
    <row r="15" spans="2:7" x14ac:dyDescent="0.4">
      <c r="B15" s="162" t="s">
        <v>135</v>
      </c>
      <c r="C15" s="232" t="s">
        <v>171</v>
      </c>
      <c r="D15" s="236"/>
      <c r="E15" s="233"/>
      <c r="F15" s="163"/>
      <c r="G15" s="163">
        <f>+Leasing!H27</f>
        <v>508097</v>
      </c>
    </row>
    <row r="16" spans="2:7" x14ac:dyDescent="0.4">
      <c r="B16" s="162" t="s">
        <v>136</v>
      </c>
      <c r="C16" s="232" t="str">
        <f>+Leasing!D27</f>
        <v>Dep. Acum Leasing</v>
      </c>
      <c r="D16" s="236"/>
      <c r="E16" s="233"/>
      <c r="F16" s="163">
        <f>+G15</f>
        <v>508097</v>
      </c>
      <c r="G16" s="163"/>
    </row>
    <row r="17" spans="2:7" x14ac:dyDescent="0.4">
      <c r="B17" s="162" t="s">
        <v>136</v>
      </c>
      <c r="C17" s="232" t="str">
        <f>+Leasing!D28</f>
        <v>Obligaciones por leasing</v>
      </c>
      <c r="D17" s="236"/>
      <c r="E17" s="233"/>
      <c r="F17" s="163">
        <f>+Leasing!H28</f>
        <v>85754882</v>
      </c>
      <c r="G17" s="163"/>
    </row>
    <row r="18" spans="2:7" ht="15.4" thickBot="1" x14ac:dyDescent="0.45">
      <c r="B18" s="237"/>
      <c r="C18" s="238" t="s">
        <v>169</v>
      </c>
      <c r="D18" s="239"/>
      <c r="E18" s="240"/>
      <c r="F18" s="241"/>
      <c r="G18" s="241"/>
    </row>
    <row r="19" spans="2:7" x14ac:dyDescent="0.4">
      <c r="B19" s="91" t="s">
        <v>116</v>
      </c>
      <c r="C19" s="92" t="s">
        <v>4</v>
      </c>
      <c r="D19" s="93">
        <v>4</v>
      </c>
      <c r="E19" s="94" t="s">
        <v>4</v>
      </c>
      <c r="F19" s="95"/>
      <c r="G19" s="95"/>
    </row>
    <row r="20" spans="2:7" x14ac:dyDescent="0.4">
      <c r="B20" s="162" t="s">
        <v>136</v>
      </c>
      <c r="C20" s="232" t="str">
        <f>+'Bce Final'!E12</f>
        <v>Provisión Contrato Oneroso</v>
      </c>
      <c r="D20" s="236"/>
      <c r="E20" s="233"/>
      <c r="F20" s="163">
        <f>+'Bce Final'!F12</f>
        <v>27000000</v>
      </c>
      <c r="G20" s="163"/>
    </row>
    <row r="21" spans="2:7" x14ac:dyDescent="0.4">
      <c r="B21" s="162" t="s">
        <v>135</v>
      </c>
      <c r="C21" s="232"/>
      <c r="D21" s="236" t="s">
        <v>177</v>
      </c>
      <c r="E21" s="233"/>
      <c r="F21" s="163"/>
      <c r="G21" s="163">
        <f>+F20</f>
        <v>27000000</v>
      </c>
    </row>
    <row r="22" spans="2:7" ht="15.4" thickBot="1" x14ac:dyDescent="0.45">
      <c r="B22" s="237"/>
      <c r="C22" s="238" t="s">
        <v>169</v>
      </c>
      <c r="D22" s="239"/>
      <c r="E22" s="240"/>
      <c r="F22" s="241"/>
      <c r="G22" s="241"/>
    </row>
    <row r="23" spans="2:7" x14ac:dyDescent="0.4">
      <c r="B23" s="91" t="s">
        <v>116</v>
      </c>
      <c r="C23" s="92" t="s">
        <v>4</v>
      </c>
      <c r="D23" s="93">
        <v>5</v>
      </c>
      <c r="E23" s="94" t="s">
        <v>4</v>
      </c>
      <c r="F23" s="95"/>
      <c r="G23" s="95"/>
    </row>
    <row r="24" spans="2:7" x14ac:dyDescent="0.4">
      <c r="B24" s="162" t="s">
        <v>137</v>
      </c>
      <c r="C24" s="232" t="s">
        <v>173</v>
      </c>
      <c r="D24" s="236"/>
      <c r="E24" s="233"/>
      <c r="F24" s="163">
        <f>-'Bce Final'!C40</f>
        <v>30000000</v>
      </c>
      <c r="G24" s="163"/>
    </row>
    <row r="25" spans="2:7" x14ac:dyDescent="0.4">
      <c r="B25" s="162" t="s">
        <v>134</v>
      </c>
      <c r="C25" s="232"/>
      <c r="D25" s="236" t="s">
        <v>181</v>
      </c>
      <c r="E25" s="233"/>
      <c r="F25" s="163"/>
      <c r="G25" s="163">
        <f>+F24</f>
        <v>30000000</v>
      </c>
    </row>
    <row r="26" spans="2:7" ht="15.4" thickBot="1" x14ac:dyDescent="0.45">
      <c r="B26" s="237"/>
      <c r="C26" s="238" t="s">
        <v>169</v>
      </c>
      <c r="D26" s="239"/>
      <c r="E26" s="240"/>
      <c r="F26" s="241"/>
      <c r="G26" s="241"/>
    </row>
    <row r="27" spans="2:7" x14ac:dyDescent="0.4">
      <c r="B27" s="91" t="s">
        <v>116</v>
      </c>
      <c r="C27" s="92" t="s">
        <v>4</v>
      </c>
      <c r="D27" s="93">
        <v>6</v>
      </c>
      <c r="E27" s="94" t="s">
        <v>4</v>
      </c>
      <c r="F27" s="95"/>
      <c r="G27" s="95"/>
    </row>
    <row r="28" spans="2:7" x14ac:dyDescent="0.4">
      <c r="B28" s="162" t="s">
        <v>136</v>
      </c>
      <c r="C28" s="232" t="str">
        <f>+'Bce Final'!B10</f>
        <v>Deterioro Cuentas por Cobrar</v>
      </c>
      <c r="D28" s="236"/>
      <c r="E28" s="233"/>
      <c r="F28" s="163">
        <f>+'Deterioro cx'!K16</f>
        <v>51092200</v>
      </c>
      <c r="G28" s="163"/>
    </row>
    <row r="29" spans="2:7" x14ac:dyDescent="0.4">
      <c r="B29" s="162" t="s">
        <v>189</v>
      </c>
      <c r="C29" s="232"/>
      <c r="D29" s="236" t="s">
        <v>190</v>
      </c>
      <c r="E29" s="233"/>
      <c r="F29" s="163"/>
      <c r="G29" s="163">
        <f>+F28</f>
        <v>51092200</v>
      </c>
    </row>
    <row r="30" spans="2:7" ht="15.4" thickBot="1" x14ac:dyDescent="0.45">
      <c r="B30" s="237"/>
      <c r="C30" s="238" t="s">
        <v>169</v>
      </c>
      <c r="D30" s="239"/>
      <c r="E30" s="240"/>
      <c r="F30" s="241"/>
      <c r="G30" s="241"/>
    </row>
    <row r="31" spans="2:7" x14ac:dyDescent="0.4">
      <c r="B31" s="91" t="s">
        <v>116</v>
      </c>
      <c r="C31" s="92" t="s">
        <v>4</v>
      </c>
      <c r="D31" s="93">
        <v>7</v>
      </c>
      <c r="E31" s="94" t="s">
        <v>4</v>
      </c>
      <c r="F31" s="95"/>
      <c r="G31" s="95"/>
    </row>
    <row r="32" spans="2:7" x14ac:dyDescent="0.4">
      <c r="B32" s="162" t="s">
        <v>136</v>
      </c>
      <c r="C32" s="232" t="str">
        <f>+'Bce Final'!E15</f>
        <v>Provisión Juicios</v>
      </c>
      <c r="D32" s="236"/>
      <c r="E32" s="233"/>
      <c r="F32" s="163">
        <f>+'Bce Final'!F15</f>
        <v>25000000</v>
      </c>
      <c r="G32" s="163"/>
    </row>
    <row r="33" spans="2:7" x14ac:dyDescent="0.4">
      <c r="B33" s="162" t="s">
        <v>128</v>
      </c>
      <c r="C33" s="232"/>
      <c r="D33" s="236" t="s">
        <v>50</v>
      </c>
      <c r="E33" s="233"/>
      <c r="F33" s="163"/>
      <c r="G33" s="163">
        <f>+F32</f>
        <v>25000000</v>
      </c>
    </row>
    <row r="34" spans="2:7" ht="15.4" thickBot="1" x14ac:dyDescent="0.45">
      <c r="B34" s="237"/>
      <c r="C34" s="238" t="s">
        <v>169</v>
      </c>
      <c r="D34" s="239"/>
      <c r="E34" s="240"/>
      <c r="F34" s="241"/>
      <c r="G34" s="241"/>
    </row>
    <row r="35" spans="2:7" x14ac:dyDescent="0.4">
      <c r="B35" s="91" t="s">
        <v>116</v>
      </c>
      <c r="C35" s="92" t="s">
        <v>4</v>
      </c>
      <c r="D35" s="93">
        <v>8</v>
      </c>
      <c r="E35" s="94" t="s">
        <v>4</v>
      </c>
      <c r="F35" s="95"/>
      <c r="G35" s="95"/>
    </row>
    <row r="36" spans="2:7" x14ac:dyDescent="0.4">
      <c r="B36" s="162" t="s">
        <v>135</v>
      </c>
      <c r="C36" s="232" t="s">
        <v>197</v>
      </c>
      <c r="D36" s="236"/>
      <c r="E36" s="233"/>
      <c r="F36" s="163">
        <f>+'Bce Final'!H16</f>
        <v>5700000</v>
      </c>
      <c r="G36" s="163"/>
    </row>
    <row r="37" spans="2:7" x14ac:dyDescent="0.4">
      <c r="B37" s="162" t="s">
        <v>136</v>
      </c>
      <c r="C37" s="232"/>
      <c r="D37" s="236" t="str">
        <f>+'Bce Final'!E16</f>
        <v>Provisión medioambiental</v>
      </c>
      <c r="E37" s="233"/>
      <c r="F37" s="163"/>
      <c r="G37" s="163">
        <f>+F36</f>
        <v>5700000</v>
      </c>
    </row>
    <row r="38" spans="2:7" ht="15.4" thickBot="1" x14ac:dyDescent="0.45">
      <c r="B38" s="237"/>
      <c r="C38" s="238" t="s">
        <v>198</v>
      </c>
      <c r="D38" s="239"/>
      <c r="E38" s="240"/>
      <c r="F38" s="241"/>
      <c r="G38" s="241"/>
    </row>
    <row r="39" spans="2:7" x14ac:dyDescent="0.4">
      <c r="B39" s="91" t="s">
        <v>116</v>
      </c>
      <c r="C39" s="92" t="s">
        <v>4</v>
      </c>
      <c r="D39" s="93">
        <v>9</v>
      </c>
      <c r="E39" s="94" t="s">
        <v>4</v>
      </c>
      <c r="F39" s="95"/>
      <c r="G39" s="95"/>
    </row>
    <row r="40" spans="2:7" x14ac:dyDescent="0.4">
      <c r="B40" s="162" t="s">
        <v>134</v>
      </c>
      <c r="C40" s="232" t="str">
        <f>+'Bce Final'!B33</f>
        <v>Activos por diferidos</v>
      </c>
      <c r="D40" s="236"/>
      <c r="E40" s="233"/>
      <c r="F40" s="163">
        <f>+Diferidos!G25</f>
        <v>18724000</v>
      </c>
      <c r="G40" s="163"/>
    </row>
    <row r="41" spans="2:7" x14ac:dyDescent="0.4">
      <c r="B41" s="162" t="s">
        <v>136</v>
      </c>
      <c r="C41" s="232" t="str">
        <f>+'Bce Final'!E25</f>
        <v>Pasivos por diferidos</v>
      </c>
      <c r="D41" s="236"/>
      <c r="E41" s="233"/>
      <c r="F41" s="163">
        <f>-Diferidos!H25</f>
        <v>132740194</v>
      </c>
      <c r="G41" s="163"/>
    </row>
    <row r="42" spans="2:7" x14ac:dyDescent="0.4">
      <c r="B42" s="162" t="s">
        <v>189</v>
      </c>
      <c r="C42" s="232"/>
      <c r="D42" s="236" t="s">
        <v>11</v>
      </c>
      <c r="E42" s="233"/>
      <c r="F42" s="163"/>
      <c r="G42" s="163">
        <f>+F40+F41</f>
        <v>151464194</v>
      </c>
    </row>
    <row r="43" spans="2:7" ht="15.4" thickBot="1" x14ac:dyDescent="0.45">
      <c r="B43" s="237"/>
      <c r="C43" s="238" t="s">
        <v>169</v>
      </c>
      <c r="D43" s="239"/>
      <c r="E43" s="240"/>
      <c r="F43" s="241"/>
      <c r="G43" s="241"/>
    </row>
    <row r="44" spans="2:7" x14ac:dyDescent="0.4">
      <c r="B44" s="78"/>
      <c r="C44" s="79"/>
      <c r="D44" s="234"/>
      <c r="E44" s="235"/>
      <c r="F44" s="80"/>
      <c r="G44" s="81"/>
    </row>
    <row r="45" spans="2:7" x14ac:dyDescent="0.4">
      <c r="F45" s="9">
        <f>SUM(F4:F44)</f>
        <v>393519373</v>
      </c>
      <c r="G45" s="9">
        <f>SUM(G4:G44)</f>
        <v>393519373</v>
      </c>
    </row>
  </sheetData>
  <mergeCells count="1"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44E4-C906-44AA-8357-C426F59006E5}">
  <dimension ref="B1:O31"/>
  <sheetViews>
    <sheetView topLeftCell="D20" zoomScaleNormal="100" workbookViewId="0">
      <selection activeCell="G31" sqref="G31"/>
    </sheetView>
  </sheetViews>
  <sheetFormatPr baseColWidth="10" defaultColWidth="11.53125" defaultRowHeight="16.5" x14ac:dyDescent="0.45"/>
  <cols>
    <col min="1" max="1" width="1.9296875" style="10" customWidth="1"/>
    <col min="2" max="2" width="9.265625" style="10" bestFit="1" customWidth="1"/>
    <col min="3" max="3" width="11.53125" style="10"/>
    <col min="4" max="4" width="40.46484375" style="10" customWidth="1"/>
    <col min="5" max="5" width="17.33203125" style="71" bestFit="1" customWidth="1"/>
    <col min="6" max="6" width="11.53125" style="10"/>
    <col min="7" max="7" width="19.1328125" style="10" bestFit="1" customWidth="1"/>
    <col min="8" max="8" width="27" style="10" bestFit="1" customWidth="1"/>
    <col min="9" max="9" width="13.73046875" style="71" bestFit="1" customWidth="1"/>
    <col min="10" max="13" width="11.53125" style="71"/>
    <col min="14" max="16384" width="11.53125" style="10"/>
  </cols>
  <sheetData>
    <row r="1" spans="2:13" ht="16.899999999999999" thickBot="1" x14ac:dyDescent="0.5">
      <c r="D1" s="11" t="s">
        <v>80</v>
      </c>
      <c r="E1" s="10"/>
      <c r="I1" s="10"/>
      <c r="J1" s="10"/>
      <c r="K1" s="10"/>
      <c r="L1" s="10"/>
      <c r="M1" s="10"/>
    </row>
    <row r="2" spans="2:13" ht="16.899999999999999" thickBot="1" x14ac:dyDescent="0.5">
      <c r="E2" s="10"/>
      <c r="H2" s="45" t="s">
        <v>63</v>
      </c>
      <c r="I2" s="45" t="s">
        <v>67</v>
      </c>
      <c r="J2" s="10"/>
      <c r="K2" s="10"/>
      <c r="L2" s="10"/>
      <c r="M2" s="10"/>
    </row>
    <row r="3" spans="2:13" ht="16.899999999999999" thickBot="1" x14ac:dyDescent="0.5">
      <c r="D3" s="10" t="s">
        <v>81</v>
      </c>
      <c r="E3" s="10"/>
      <c r="H3" s="12"/>
      <c r="I3" s="13"/>
      <c r="J3" s="10"/>
      <c r="K3" s="10"/>
      <c r="L3" s="10"/>
      <c r="M3" s="10"/>
    </row>
    <row r="4" spans="2:13" ht="16.899999999999999" thickBot="1" x14ac:dyDescent="0.5">
      <c r="B4" s="255">
        <f>+E4</f>
        <v>99</v>
      </c>
      <c r="D4" s="10" t="s">
        <v>82</v>
      </c>
      <c r="E4" s="25">
        <v>99</v>
      </c>
      <c r="F4" s="14"/>
      <c r="H4" s="15" t="s">
        <v>58</v>
      </c>
      <c r="I4" s="16">
        <v>49900.43</v>
      </c>
      <c r="J4" s="10"/>
      <c r="K4" s="17"/>
      <c r="L4" s="18"/>
      <c r="M4" s="10"/>
    </row>
    <row r="5" spans="2:13" ht="16.899999999999999" thickBot="1" x14ac:dyDescent="0.5">
      <c r="B5" s="206"/>
      <c r="C5" s="207"/>
      <c r="D5" s="19" t="s">
        <v>133</v>
      </c>
      <c r="E5" s="20">
        <v>100</v>
      </c>
      <c r="F5" s="21" t="s">
        <v>63</v>
      </c>
      <c r="G5" s="22"/>
      <c r="H5" s="15" t="s">
        <v>59</v>
      </c>
      <c r="I5" s="16">
        <v>49925.54</v>
      </c>
      <c r="J5" s="10">
        <v>1</v>
      </c>
      <c r="K5" s="10"/>
      <c r="L5" s="23"/>
      <c r="M5" s="10"/>
    </row>
    <row r="6" spans="2:13" ht="16.899999999999999" thickBot="1" x14ac:dyDescent="0.5">
      <c r="D6" s="24" t="s">
        <v>83</v>
      </c>
      <c r="E6" s="25">
        <v>70</v>
      </c>
      <c r="F6" s="14" t="s">
        <v>63</v>
      </c>
      <c r="G6" s="14"/>
      <c r="H6" s="26" t="s">
        <v>60</v>
      </c>
      <c r="I6" s="27">
        <v>50001.24</v>
      </c>
      <c r="J6" s="10">
        <v>1</v>
      </c>
      <c r="K6" s="10"/>
      <c r="L6" s="28"/>
      <c r="M6" s="10"/>
    </row>
    <row r="7" spans="2:13" ht="16.899999999999999" thickBot="1" x14ac:dyDescent="0.5">
      <c r="B7" s="255">
        <f>12*12</f>
        <v>144</v>
      </c>
      <c r="D7" s="24" t="s">
        <v>84</v>
      </c>
      <c r="E7" s="25">
        <v>12</v>
      </c>
      <c r="F7" s="14" t="s">
        <v>85</v>
      </c>
      <c r="G7" s="14" t="s">
        <v>86</v>
      </c>
      <c r="H7" s="29"/>
      <c r="I7" s="30"/>
      <c r="J7" s="255">
        <f>SUM(J5:J6)</f>
        <v>2</v>
      </c>
      <c r="K7" s="10"/>
      <c r="L7" s="10"/>
      <c r="M7" s="10"/>
    </row>
    <row r="8" spans="2:13" ht="16.899999999999999" thickBot="1" x14ac:dyDescent="0.5">
      <c r="B8" s="31"/>
      <c r="C8" s="32"/>
      <c r="D8" s="33" t="s">
        <v>87</v>
      </c>
      <c r="E8" s="34">
        <v>8</v>
      </c>
      <c r="F8" s="29" t="s">
        <v>79</v>
      </c>
      <c r="G8" s="72">
        <f>ROUND((1+0.08)^(1/12)-1,4)</f>
        <v>6.4000000000000003E-3</v>
      </c>
      <c r="H8" s="208"/>
      <c r="I8" s="208"/>
      <c r="J8" s="10"/>
      <c r="K8" s="10"/>
      <c r="L8" s="10"/>
      <c r="M8" s="10"/>
    </row>
    <row r="9" spans="2:13" x14ac:dyDescent="0.45">
      <c r="B9" s="31"/>
      <c r="C9" s="32"/>
      <c r="D9" s="33" t="s">
        <v>95</v>
      </c>
      <c r="E9" s="34"/>
      <c r="F9" s="29"/>
      <c r="G9" s="35"/>
      <c r="H9" s="35"/>
      <c r="I9" s="35"/>
      <c r="J9" s="10"/>
      <c r="K9" s="10"/>
      <c r="L9" s="10"/>
      <c r="M9" s="10"/>
    </row>
    <row r="10" spans="2:13" x14ac:dyDescent="0.45">
      <c r="D10" s="36" t="s">
        <v>88</v>
      </c>
      <c r="E10" s="10"/>
      <c r="I10" s="10"/>
      <c r="J10" s="10"/>
      <c r="K10" s="10"/>
      <c r="L10" s="10"/>
      <c r="M10" s="10"/>
    </row>
    <row r="11" spans="2:13" x14ac:dyDescent="0.45">
      <c r="D11" s="36"/>
      <c r="E11" s="10"/>
      <c r="I11" s="10"/>
      <c r="J11" s="10"/>
      <c r="K11" s="10"/>
      <c r="L11" s="10"/>
      <c r="M11" s="10"/>
    </row>
    <row r="12" spans="2:13" x14ac:dyDescent="0.45">
      <c r="D12" s="36"/>
      <c r="E12" s="10"/>
      <c r="H12" s="32" t="s">
        <v>170</v>
      </c>
      <c r="I12" s="10"/>
      <c r="J12" s="10"/>
      <c r="K12" s="10"/>
      <c r="L12" s="10"/>
      <c r="M12" s="10"/>
    </row>
    <row r="13" spans="2:13" x14ac:dyDescent="0.45">
      <c r="E13" s="10"/>
      <c r="F13" s="37"/>
      <c r="G13" s="38"/>
      <c r="I13" s="10"/>
      <c r="J13" s="14"/>
      <c r="K13" s="14"/>
      <c r="L13" s="14"/>
      <c r="M13" s="10"/>
    </row>
    <row r="14" spans="2:13" x14ac:dyDescent="0.45">
      <c r="E14" s="10"/>
      <c r="I14" s="10"/>
      <c r="J14" s="10"/>
      <c r="K14" s="10"/>
      <c r="L14" s="10"/>
      <c r="M14" s="10"/>
    </row>
    <row r="15" spans="2:13" ht="16.899999999999999" thickBot="1" x14ac:dyDescent="0.5">
      <c r="E15" s="10"/>
      <c r="I15" s="10"/>
      <c r="J15" s="10"/>
      <c r="K15" s="10"/>
      <c r="L15" s="10"/>
      <c r="M15" s="10"/>
    </row>
    <row r="16" spans="2:13" s="14" customFormat="1" ht="16.899999999999999" thickBot="1" x14ac:dyDescent="0.5">
      <c r="B16" s="39" t="s">
        <v>55</v>
      </c>
      <c r="C16" s="40" t="s">
        <v>56</v>
      </c>
      <c r="D16" s="96" t="s">
        <v>120</v>
      </c>
      <c r="E16" s="97" t="s">
        <v>57</v>
      </c>
      <c r="F16" s="97" t="s">
        <v>89</v>
      </c>
      <c r="G16" s="97" t="s">
        <v>90</v>
      </c>
      <c r="H16" s="98" t="s">
        <v>91</v>
      </c>
      <c r="I16" s="29" t="s">
        <v>57</v>
      </c>
      <c r="J16" s="209" t="s">
        <v>92</v>
      </c>
      <c r="K16" s="209"/>
      <c r="L16" s="209"/>
    </row>
    <row r="17" spans="2:15" ht="16.899999999999999" thickBot="1" x14ac:dyDescent="0.5">
      <c r="B17" s="41"/>
      <c r="C17" s="42"/>
      <c r="D17" s="99"/>
      <c r="E17" s="99"/>
      <c r="F17" s="99"/>
      <c r="G17" s="99"/>
      <c r="H17" s="100" t="s">
        <v>93</v>
      </c>
      <c r="I17" s="30"/>
      <c r="J17" s="210" t="s">
        <v>94</v>
      </c>
      <c r="K17" s="210"/>
      <c r="L17" s="210"/>
      <c r="M17" s="10"/>
    </row>
    <row r="18" spans="2:15" ht="16.899999999999999" thickBot="1" x14ac:dyDescent="0.5">
      <c r="D18" s="30"/>
      <c r="E18" s="30"/>
      <c r="F18" s="30"/>
      <c r="G18" s="30"/>
      <c r="H18" s="29"/>
      <c r="I18" s="30"/>
      <c r="J18" s="103"/>
      <c r="K18" s="103"/>
      <c r="L18" s="103"/>
      <c r="M18" s="10"/>
    </row>
    <row r="19" spans="2:15" s="14" customFormat="1" ht="16.899999999999999" thickBot="1" x14ac:dyDescent="0.5">
      <c r="B19" s="14" t="s">
        <v>55</v>
      </c>
      <c r="C19" s="14" t="s">
        <v>56</v>
      </c>
      <c r="D19" s="96">
        <f>+E5</f>
        <v>100</v>
      </c>
      <c r="E19" s="29" t="s">
        <v>57</v>
      </c>
      <c r="F19" s="101">
        <f>+E6</f>
        <v>70</v>
      </c>
      <c r="G19" s="29" t="s">
        <v>90</v>
      </c>
      <c r="H19" s="102">
        <f>((1+G8)^E4)-1</f>
        <v>0.880581597627347</v>
      </c>
      <c r="I19" s="29" t="s">
        <v>57</v>
      </c>
      <c r="J19" s="210"/>
      <c r="K19" s="210"/>
      <c r="L19" s="103"/>
    </row>
    <row r="20" spans="2:15" s="14" customFormat="1" x14ac:dyDescent="0.45">
      <c r="D20" s="29"/>
      <c r="E20" s="29"/>
      <c r="F20" s="101"/>
      <c r="G20" s="29"/>
      <c r="H20" s="29">
        <f>(G8)*(1+G8)^E4</f>
        <v>1.2035722224815021E-2</v>
      </c>
      <c r="I20" s="29"/>
      <c r="J20" s="29"/>
      <c r="K20" s="29"/>
      <c r="L20" s="29"/>
    </row>
    <row r="21" spans="2:15" s="14" customFormat="1" x14ac:dyDescent="0.45">
      <c r="F21" s="43"/>
    </row>
    <row r="22" spans="2:15" s="14" customFormat="1" ht="16.899999999999999" thickBot="1" x14ac:dyDescent="0.5">
      <c r="F22" s="43"/>
      <c r="G22" s="44"/>
    </row>
    <row r="23" spans="2:15" ht="16.899999999999999" thickBot="1" x14ac:dyDescent="0.5">
      <c r="B23" s="105" t="s">
        <v>55</v>
      </c>
      <c r="C23" s="106" t="s">
        <v>56</v>
      </c>
      <c r="D23" s="107">
        <f>+D19+G23</f>
        <v>5221.4800975403577</v>
      </c>
      <c r="G23" s="104">
        <f>+F19*H19/H20</f>
        <v>5121.4800975403577</v>
      </c>
    </row>
    <row r="24" spans="2:15" ht="16.899999999999999" thickBot="1" x14ac:dyDescent="0.5">
      <c r="L24" s="112"/>
    </row>
    <row r="25" spans="2:15" ht="16.899999999999999" thickBot="1" x14ac:dyDescent="0.5">
      <c r="D25" s="87" t="s">
        <v>0</v>
      </c>
      <c r="E25" s="88" t="s">
        <v>109</v>
      </c>
      <c r="F25" s="89"/>
      <c r="G25" s="87" t="s">
        <v>114</v>
      </c>
      <c r="H25" s="90" t="s">
        <v>115</v>
      </c>
      <c r="J25" s="113" t="s">
        <v>5</v>
      </c>
      <c r="K25" s="113" t="s">
        <v>121</v>
      </c>
      <c r="L25" s="113" t="s">
        <v>122</v>
      </c>
      <c r="M25" s="113" t="s">
        <v>123</v>
      </c>
      <c r="N25" s="114" t="s">
        <v>48</v>
      </c>
    </row>
    <row r="26" spans="2:15" x14ac:dyDescent="0.45">
      <c r="D26" s="15" t="str">
        <f>+'Bce Final'!B27</f>
        <v>Activo en leasing</v>
      </c>
      <c r="E26" s="84">
        <f>+'Bce Final'!C27</f>
        <v>346308984</v>
      </c>
      <c r="F26" s="17">
        <f>+D23</f>
        <v>5221.4800975403577</v>
      </c>
      <c r="G26" s="84">
        <f>ROUND(+F26*I4,0)</f>
        <v>260554102</v>
      </c>
      <c r="H26" s="82">
        <f>+G26-E26</f>
        <v>-85754882</v>
      </c>
      <c r="J26" s="109"/>
      <c r="K26" s="108"/>
      <c r="L26" s="108"/>
      <c r="M26" s="108"/>
      <c r="N26" s="110"/>
      <c r="O26" s="10" t="s">
        <v>124</v>
      </c>
    </row>
    <row r="27" spans="2:15" x14ac:dyDescent="0.45">
      <c r="B27" s="204" t="s">
        <v>138</v>
      </c>
      <c r="C27" s="205"/>
      <c r="D27" s="15" t="str">
        <f>+'Bce Final'!B28</f>
        <v>Dep. Acum Leasing</v>
      </c>
      <c r="E27" s="84">
        <f>+'Bce Final'!C28</f>
        <v>-5771816</v>
      </c>
      <c r="G27" s="84">
        <f>-ROUND(+(G26/B4)*J7,0)</f>
        <v>-5263719</v>
      </c>
      <c r="H27" s="82">
        <f>+G27-E27</f>
        <v>508097</v>
      </c>
      <c r="J27" s="109"/>
      <c r="K27" s="111"/>
      <c r="L27" s="111"/>
      <c r="M27" s="111"/>
      <c r="N27" s="111"/>
      <c r="O27" s="10" t="s">
        <v>125</v>
      </c>
    </row>
    <row r="28" spans="2:15" ht="16.899999999999999" thickBot="1" x14ac:dyDescent="0.5">
      <c r="B28" s="104"/>
      <c r="C28" s="73"/>
      <c r="D28" s="26" t="str">
        <f>+'Bce Final'!E6</f>
        <v>Obligaciones por leasing</v>
      </c>
      <c r="E28" s="86">
        <f>+'Bce Final'!F6</f>
        <v>338101145</v>
      </c>
      <c r="F28" s="116"/>
      <c r="G28" s="85">
        <f>+E28-H28</f>
        <v>252346263</v>
      </c>
      <c r="H28" s="83">
        <f>-H26</f>
        <v>85754882</v>
      </c>
      <c r="J28" s="109"/>
      <c r="K28" s="111"/>
      <c r="L28" s="111"/>
      <c r="M28" s="111"/>
      <c r="N28" s="115"/>
      <c r="O28" s="10" t="s">
        <v>126</v>
      </c>
    </row>
    <row r="29" spans="2:15" ht="16.899999999999999" thickBot="1" x14ac:dyDescent="0.5">
      <c r="B29" s="73"/>
      <c r="G29" s="15"/>
    </row>
    <row r="30" spans="2:15" ht="16.899999999999999" thickBot="1" x14ac:dyDescent="0.5">
      <c r="C30" s="73"/>
      <c r="D30" s="73"/>
      <c r="F30" s="74"/>
      <c r="G30" s="157">
        <f>+G26+G27-G28</f>
        <v>2944120</v>
      </c>
      <c r="H30" s="77"/>
    </row>
    <row r="31" spans="2:15" x14ac:dyDescent="0.45">
      <c r="H31" s="77"/>
    </row>
  </sheetData>
  <mergeCells count="6">
    <mergeCell ref="B27:C27"/>
    <mergeCell ref="B5:C5"/>
    <mergeCell ref="H8:I8"/>
    <mergeCell ref="J16:L16"/>
    <mergeCell ref="J17:L17"/>
    <mergeCell ref="J19:K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36F60-E39F-4348-89DF-5DBB2C28E591}">
  <dimension ref="B1:N45"/>
  <sheetViews>
    <sheetView topLeftCell="A8" zoomScale="160" zoomScaleNormal="160" workbookViewId="0">
      <selection activeCell="J17" sqref="J17"/>
    </sheetView>
  </sheetViews>
  <sheetFormatPr baseColWidth="10" defaultColWidth="11.53125" defaultRowHeight="12.75" x14ac:dyDescent="0.35"/>
  <cols>
    <col min="1" max="2" width="3.9296875" style="76" customWidth="1"/>
    <col min="3" max="3" width="9.796875" style="76" bestFit="1" customWidth="1"/>
    <col min="4" max="4" width="4.06640625" style="76" bestFit="1" customWidth="1"/>
    <col min="5" max="5" width="9.6640625" style="76" bestFit="1" customWidth="1"/>
    <col min="6" max="6" width="4.06640625" style="76" bestFit="1" customWidth="1"/>
    <col min="7" max="7" width="10.59765625" style="76" bestFit="1" customWidth="1"/>
    <col min="8" max="8" width="4.06640625" style="76" bestFit="1" customWidth="1"/>
    <col min="9" max="9" width="9.53125" style="117" bestFit="1" customWidth="1"/>
    <col min="10" max="10" width="4.06640625" style="117" bestFit="1" customWidth="1"/>
    <col min="11" max="11" width="10.86328125" style="117" bestFit="1" customWidth="1"/>
    <col min="12" max="12" width="11.53125" style="161"/>
    <col min="13" max="14" width="11.53125" style="117"/>
    <col min="15" max="16384" width="11.53125" style="76"/>
  </cols>
  <sheetData>
    <row r="1" spans="2:13" ht="13.15" thickBot="1" x14ac:dyDescent="0.4"/>
    <row r="2" spans="2:13" ht="20.65" thickBot="1" x14ac:dyDescent="0.4">
      <c r="B2" s="283" t="s">
        <v>61</v>
      </c>
      <c r="C2" s="284" t="s">
        <v>141</v>
      </c>
      <c r="D2" s="118" t="s">
        <v>61</v>
      </c>
      <c r="E2" s="119" t="s">
        <v>76</v>
      </c>
      <c r="F2" s="120" t="s">
        <v>61</v>
      </c>
      <c r="G2" s="119" t="s">
        <v>75</v>
      </c>
      <c r="H2" s="119" t="s">
        <v>61</v>
      </c>
      <c r="I2" s="120" t="s">
        <v>117</v>
      </c>
      <c r="J2" s="120" t="s">
        <v>61</v>
      </c>
      <c r="K2" s="120" t="s">
        <v>116</v>
      </c>
    </row>
    <row r="3" spans="2:13" ht="13.15" thickBot="1" x14ac:dyDescent="0.4">
      <c r="B3" s="285">
        <v>1</v>
      </c>
      <c r="C3" s="286">
        <v>10000000</v>
      </c>
      <c r="D3" s="121">
        <v>1</v>
      </c>
      <c r="E3" s="122">
        <v>12000000</v>
      </c>
      <c r="F3" s="123">
        <v>1</v>
      </c>
      <c r="G3" s="122">
        <v>9000000</v>
      </c>
      <c r="H3" s="123">
        <v>2</v>
      </c>
      <c r="I3" s="122">
        <v>10000000</v>
      </c>
      <c r="J3" s="123">
        <v>2</v>
      </c>
      <c r="K3" s="122">
        <v>4000000</v>
      </c>
    </row>
    <row r="4" spans="2:13" ht="13.15" thickBot="1" x14ac:dyDescent="0.4">
      <c r="B4" s="285">
        <v>2</v>
      </c>
      <c r="C4" s="286">
        <v>12000000</v>
      </c>
      <c r="D4" s="121">
        <v>2</v>
      </c>
      <c r="E4" s="122">
        <v>6000000</v>
      </c>
      <c r="F4" s="123">
        <v>2</v>
      </c>
      <c r="G4" s="122">
        <v>7000000</v>
      </c>
      <c r="H4" s="123">
        <v>6</v>
      </c>
      <c r="I4" s="122">
        <v>9000000</v>
      </c>
      <c r="J4" s="123">
        <v>13</v>
      </c>
      <c r="K4" s="122">
        <v>19000000</v>
      </c>
    </row>
    <row r="5" spans="2:13" ht="13.15" thickBot="1" x14ac:dyDescent="0.4">
      <c r="B5" s="285">
        <v>3</v>
      </c>
      <c r="C5" s="286">
        <v>13000000</v>
      </c>
      <c r="D5" s="121">
        <v>3</v>
      </c>
      <c r="E5" s="122">
        <v>12000000</v>
      </c>
      <c r="F5" s="123">
        <v>6</v>
      </c>
      <c r="G5" s="122">
        <v>15000000</v>
      </c>
      <c r="H5" s="123">
        <v>13</v>
      </c>
      <c r="I5" s="122">
        <v>8000000</v>
      </c>
      <c r="J5" s="123">
        <v>21</v>
      </c>
      <c r="K5" s="122">
        <v>9000000</v>
      </c>
    </row>
    <row r="6" spans="2:13" ht="13.15" thickBot="1" x14ac:dyDescent="0.4">
      <c r="B6" s="285">
        <v>4</v>
      </c>
      <c r="C6" s="286">
        <v>8000000</v>
      </c>
      <c r="D6" s="121">
        <v>5</v>
      </c>
      <c r="E6" s="122">
        <v>8000000</v>
      </c>
      <c r="F6" s="123">
        <v>10</v>
      </c>
      <c r="G6" s="122">
        <v>13000000</v>
      </c>
      <c r="H6" s="123">
        <v>21</v>
      </c>
      <c r="I6" s="122">
        <v>13000000</v>
      </c>
      <c r="J6" s="123">
        <v>25</v>
      </c>
      <c r="K6" s="122">
        <v>1000000</v>
      </c>
    </row>
    <row r="7" spans="2:13" ht="13.15" thickBot="1" x14ac:dyDescent="0.4">
      <c r="B7" s="285">
        <v>5</v>
      </c>
      <c r="C7" s="286">
        <v>12000000</v>
      </c>
      <c r="D7" s="121">
        <v>6</v>
      </c>
      <c r="E7" s="122">
        <v>6000000</v>
      </c>
      <c r="F7" s="123">
        <v>13</v>
      </c>
      <c r="G7" s="122">
        <v>15000000</v>
      </c>
      <c r="H7" s="123">
        <v>25</v>
      </c>
      <c r="I7" s="122">
        <v>10000000</v>
      </c>
      <c r="J7" s="123">
        <v>28</v>
      </c>
      <c r="K7" s="122">
        <v>9000000</v>
      </c>
    </row>
    <row r="8" spans="2:13" ht="13.15" thickBot="1" x14ac:dyDescent="0.4">
      <c r="B8" s="285">
        <v>6</v>
      </c>
      <c r="C8" s="286">
        <v>9000000</v>
      </c>
      <c r="D8" s="121">
        <v>10</v>
      </c>
      <c r="E8" s="122">
        <v>12000000</v>
      </c>
      <c r="F8" s="123">
        <v>21</v>
      </c>
      <c r="G8" s="122">
        <v>6000000</v>
      </c>
      <c r="H8" s="123">
        <v>28</v>
      </c>
      <c r="I8" s="122">
        <v>7000000</v>
      </c>
      <c r="J8" s="123">
        <v>45</v>
      </c>
      <c r="K8" s="122">
        <v>8000000</v>
      </c>
      <c r="M8" s="128">
        <f>+I22</f>
        <v>45.78</v>
      </c>
    </row>
    <row r="9" spans="2:13" ht="13.15" thickBot="1" x14ac:dyDescent="0.4">
      <c r="B9" s="285">
        <v>7</v>
      </c>
      <c r="C9" s="286">
        <v>9000000</v>
      </c>
      <c r="D9" s="121">
        <v>11</v>
      </c>
      <c r="E9" s="122">
        <v>15000000</v>
      </c>
      <c r="F9" s="123">
        <v>22</v>
      </c>
      <c r="G9" s="122">
        <v>8000000</v>
      </c>
      <c r="H9" s="123">
        <v>31</v>
      </c>
      <c r="I9" s="122">
        <v>16000000</v>
      </c>
      <c r="J9" s="123">
        <v>48</v>
      </c>
      <c r="K9" s="122">
        <v>11000000</v>
      </c>
      <c r="M9" s="128">
        <f>+I34</f>
        <v>53.75</v>
      </c>
    </row>
    <row r="10" spans="2:13" ht="13.15" thickBot="1" x14ac:dyDescent="0.4">
      <c r="B10" s="285">
        <v>8</v>
      </c>
      <c r="C10" s="286">
        <v>8000000</v>
      </c>
      <c r="D10" s="121">
        <v>13</v>
      </c>
      <c r="E10" s="122">
        <v>12000000</v>
      </c>
      <c r="F10" s="123">
        <v>25</v>
      </c>
      <c r="G10" s="122">
        <v>7000000</v>
      </c>
      <c r="H10" s="123">
        <v>35</v>
      </c>
      <c r="I10" s="122">
        <v>15000000</v>
      </c>
      <c r="J10" s="123">
        <v>54</v>
      </c>
      <c r="K10" s="122">
        <v>13000000</v>
      </c>
      <c r="M10" s="128">
        <f>+I45</f>
        <v>67.05</v>
      </c>
    </row>
    <row r="11" spans="2:13" ht="13.15" thickBot="1" x14ac:dyDescent="0.4">
      <c r="B11" s="287"/>
      <c r="C11" s="288">
        <f>SUM(C3:C10)</f>
        <v>81000000</v>
      </c>
      <c r="D11" s="124"/>
      <c r="E11" s="125">
        <f>SUM(E3:E10)</f>
        <v>83000000</v>
      </c>
      <c r="F11" s="126"/>
      <c r="G11" s="125">
        <f>SUM(G3:G10)</f>
        <v>80000000</v>
      </c>
      <c r="H11" s="127"/>
      <c r="I11" s="125">
        <f>SUM(I3:I10)</f>
        <v>88000000</v>
      </c>
      <c r="J11" s="126"/>
      <c r="K11" s="125">
        <f>SUM(K3:K10)</f>
        <v>74000000</v>
      </c>
      <c r="L11" s="296" t="s">
        <v>184</v>
      </c>
      <c r="M11" s="128">
        <f>SUM(M8:M10)</f>
        <v>166.57999999999998</v>
      </c>
    </row>
    <row r="12" spans="2:13" ht="13.15" thickBot="1" x14ac:dyDescent="0.4">
      <c r="K12" s="297">
        <f>ROUND(+K11*L12%,0)</f>
        <v>41092200</v>
      </c>
      <c r="L12" s="298">
        <f>ROUND(+M11/3,2)</f>
        <v>55.53</v>
      </c>
    </row>
    <row r="13" spans="2:13" ht="20.65" thickBot="1" x14ac:dyDescent="0.4">
      <c r="B13" s="118" t="s">
        <v>61</v>
      </c>
      <c r="C13" s="119" t="s">
        <v>76</v>
      </c>
      <c r="D13" s="120" t="s">
        <v>61</v>
      </c>
      <c r="E13" s="119" t="s">
        <v>75</v>
      </c>
      <c r="G13" s="293" t="s">
        <v>185</v>
      </c>
      <c r="K13" s="299">
        <f>+K11-K12</f>
        <v>32907800</v>
      </c>
      <c r="L13" s="161" t="str">
        <f>+'Bce Final'!B10</f>
        <v>Deterioro Cuentas por Cobrar</v>
      </c>
    </row>
    <row r="14" spans="2:13" ht="13.15" thickBot="1" x14ac:dyDescent="0.4">
      <c r="B14" s="121">
        <v>1</v>
      </c>
      <c r="C14" s="122">
        <v>12000000</v>
      </c>
      <c r="D14" s="123">
        <v>1</v>
      </c>
      <c r="E14" s="122">
        <v>9000000</v>
      </c>
      <c r="G14" s="290">
        <f>+C14-E14</f>
        <v>3000000</v>
      </c>
      <c r="K14" s="300">
        <f>-'Bce Final'!C10</f>
        <v>84000000</v>
      </c>
      <c r="L14" s="161" t="s">
        <v>188</v>
      </c>
    </row>
    <row r="15" spans="2:13" ht="13.15" thickBot="1" x14ac:dyDescent="0.4">
      <c r="B15" s="121">
        <v>2</v>
      </c>
      <c r="C15" s="122">
        <v>6000000</v>
      </c>
      <c r="D15" s="123">
        <v>2</v>
      </c>
      <c r="E15" s="122">
        <v>7000000</v>
      </c>
      <c r="G15" s="291"/>
    </row>
    <row r="16" spans="2:13" ht="13.15" thickBot="1" x14ac:dyDescent="0.4">
      <c r="B16" s="121">
        <v>3</v>
      </c>
      <c r="C16" s="122">
        <v>12000000</v>
      </c>
      <c r="G16" s="291">
        <f t="shared" ref="G15:G21" si="0">+C16-E16</f>
        <v>12000000</v>
      </c>
      <c r="K16" s="301">
        <f>+K14-K13</f>
        <v>51092200</v>
      </c>
      <c r="L16" s="302" t="s">
        <v>115</v>
      </c>
    </row>
    <row r="17" spans="2:9" ht="13.15" thickBot="1" x14ac:dyDescent="0.4">
      <c r="B17" s="121">
        <v>5</v>
      </c>
      <c r="C17" s="122">
        <v>8000000</v>
      </c>
      <c r="G17" s="291">
        <f t="shared" si="0"/>
        <v>8000000</v>
      </c>
    </row>
    <row r="18" spans="2:9" ht="13.15" thickBot="1" x14ac:dyDescent="0.4">
      <c r="B18" s="121">
        <v>6</v>
      </c>
      <c r="C18" s="122">
        <v>6000000</v>
      </c>
      <c r="D18" s="123">
        <v>6</v>
      </c>
      <c r="E18" s="122">
        <v>15000000</v>
      </c>
      <c r="G18" s="291"/>
    </row>
    <row r="19" spans="2:9" ht="13.15" thickBot="1" x14ac:dyDescent="0.4">
      <c r="B19" s="121">
        <v>10</v>
      </c>
      <c r="C19" s="122">
        <v>12000000</v>
      </c>
      <c r="D19" s="123">
        <v>10</v>
      </c>
      <c r="E19" s="122">
        <v>13000000</v>
      </c>
      <c r="G19" s="291"/>
    </row>
    <row r="20" spans="2:9" ht="13.15" thickBot="1" x14ac:dyDescent="0.4">
      <c r="B20" s="121">
        <v>11</v>
      </c>
      <c r="C20" s="122">
        <v>15000000</v>
      </c>
      <c r="G20" s="291">
        <f t="shared" si="0"/>
        <v>15000000</v>
      </c>
    </row>
    <row r="21" spans="2:9" ht="13.15" thickBot="1" x14ac:dyDescent="0.4">
      <c r="B21" s="121">
        <v>13</v>
      </c>
      <c r="C21" s="122">
        <v>12000000</v>
      </c>
      <c r="D21" s="123">
        <v>13</v>
      </c>
      <c r="E21" s="122">
        <v>15000000</v>
      </c>
      <c r="G21" s="292"/>
      <c r="I21" s="294" t="s">
        <v>79</v>
      </c>
    </row>
    <row r="22" spans="2:9" ht="13.15" thickBot="1" x14ac:dyDescent="0.4">
      <c r="B22" s="124"/>
      <c r="C22" s="125">
        <f>SUM(C14:C21)</f>
        <v>83000000</v>
      </c>
      <c r="D22" s="123"/>
      <c r="E22" s="122"/>
      <c r="G22" s="289">
        <f>SUM(G14:G21)</f>
        <v>38000000</v>
      </c>
      <c r="I22" s="295">
        <f>ROUND((+G22/C22)*100,2)</f>
        <v>45.78</v>
      </c>
    </row>
    <row r="24" spans="2:9" ht="13.15" thickBot="1" x14ac:dyDescent="0.4"/>
    <row r="25" spans="2:9" ht="20.65" thickBot="1" x14ac:dyDescent="0.4">
      <c r="B25" s="120" t="s">
        <v>61</v>
      </c>
      <c r="C25" s="119" t="s">
        <v>75</v>
      </c>
      <c r="D25" s="119" t="s">
        <v>61</v>
      </c>
      <c r="E25" s="120" t="s">
        <v>117</v>
      </c>
      <c r="G25" s="293" t="s">
        <v>187</v>
      </c>
    </row>
    <row r="26" spans="2:9" ht="13.15" thickBot="1" x14ac:dyDescent="0.4">
      <c r="B26" s="123">
        <v>1</v>
      </c>
      <c r="C26" s="122">
        <v>9000000</v>
      </c>
      <c r="G26" s="290">
        <f>+C26-E26</f>
        <v>9000000</v>
      </c>
    </row>
    <row r="27" spans="2:9" ht="13.15" thickBot="1" x14ac:dyDescent="0.4">
      <c r="B27" s="123">
        <v>2</v>
      </c>
      <c r="C27" s="122">
        <v>7000000</v>
      </c>
      <c r="D27" s="123">
        <v>2</v>
      </c>
      <c r="E27" s="122">
        <v>10000000</v>
      </c>
      <c r="G27" s="291"/>
    </row>
    <row r="28" spans="2:9" ht="13.15" thickBot="1" x14ac:dyDescent="0.4">
      <c r="B28" s="123">
        <v>6</v>
      </c>
      <c r="C28" s="122">
        <v>15000000</v>
      </c>
      <c r="D28" s="123">
        <v>6</v>
      </c>
      <c r="E28" s="122">
        <v>9000000</v>
      </c>
      <c r="G28" s="291">
        <f t="shared" ref="G27:G33" si="1">+C28-E28</f>
        <v>6000000</v>
      </c>
    </row>
    <row r="29" spans="2:9" ht="13.15" thickBot="1" x14ac:dyDescent="0.4">
      <c r="B29" s="123">
        <v>10</v>
      </c>
      <c r="C29" s="122">
        <v>13000000</v>
      </c>
      <c r="G29" s="291">
        <f t="shared" si="1"/>
        <v>13000000</v>
      </c>
    </row>
    <row r="30" spans="2:9" ht="13.15" thickBot="1" x14ac:dyDescent="0.4">
      <c r="B30" s="123">
        <v>13</v>
      </c>
      <c r="C30" s="122">
        <v>15000000</v>
      </c>
      <c r="D30" s="123">
        <v>13</v>
      </c>
      <c r="E30" s="122">
        <v>8000000</v>
      </c>
      <c r="G30" s="291">
        <f t="shared" si="1"/>
        <v>7000000</v>
      </c>
    </row>
    <row r="31" spans="2:9" ht="13.15" thickBot="1" x14ac:dyDescent="0.4">
      <c r="B31" s="123">
        <v>21</v>
      </c>
      <c r="C31" s="122">
        <v>6000000</v>
      </c>
      <c r="D31" s="123">
        <v>21</v>
      </c>
      <c r="E31" s="122">
        <v>13000000</v>
      </c>
      <c r="G31" s="291"/>
    </row>
    <row r="32" spans="2:9" ht="13.15" thickBot="1" x14ac:dyDescent="0.4">
      <c r="B32" s="123">
        <v>22</v>
      </c>
      <c r="C32" s="122">
        <v>8000000</v>
      </c>
      <c r="G32" s="291">
        <f t="shared" si="1"/>
        <v>8000000</v>
      </c>
    </row>
    <row r="33" spans="2:9" ht="13.15" thickBot="1" x14ac:dyDescent="0.4">
      <c r="B33" s="123">
        <v>25</v>
      </c>
      <c r="C33" s="122">
        <v>7000000</v>
      </c>
      <c r="D33" s="123">
        <v>25</v>
      </c>
      <c r="E33" s="122">
        <v>10000000</v>
      </c>
      <c r="G33" s="292"/>
      <c r="I33" s="294" t="s">
        <v>79</v>
      </c>
    </row>
    <row r="34" spans="2:9" ht="13.15" thickBot="1" x14ac:dyDescent="0.4">
      <c r="B34" s="126"/>
      <c r="C34" s="125">
        <f>SUM(C26:C33)</f>
        <v>80000000</v>
      </c>
      <c r="D34" s="123"/>
      <c r="E34" s="122"/>
      <c r="G34" s="289">
        <f>SUM(G26:G33)</f>
        <v>43000000</v>
      </c>
      <c r="I34" s="295">
        <f>ROUND((+G34/C34)*100,2)</f>
        <v>53.75</v>
      </c>
    </row>
    <row r="35" spans="2:9" ht="13.15" thickBot="1" x14ac:dyDescent="0.4"/>
    <row r="36" spans="2:9" ht="20.65" thickBot="1" x14ac:dyDescent="0.4">
      <c r="B36" s="119" t="s">
        <v>61</v>
      </c>
      <c r="C36" s="120" t="s">
        <v>117</v>
      </c>
      <c r="D36" s="120" t="s">
        <v>61</v>
      </c>
      <c r="E36" s="120" t="s">
        <v>116</v>
      </c>
      <c r="G36" s="293" t="s">
        <v>186</v>
      </c>
    </row>
    <row r="37" spans="2:9" ht="13.15" thickBot="1" x14ac:dyDescent="0.4">
      <c r="B37" s="123">
        <v>2</v>
      </c>
      <c r="C37" s="122">
        <v>10000000</v>
      </c>
      <c r="D37" s="123">
        <v>2</v>
      </c>
      <c r="E37" s="122">
        <v>4000000</v>
      </c>
      <c r="G37" s="290">
        <f>+C37-E37</f>
        <v>6000000</v>
      </c>
    </row>
    <row r="38" spans="2:9" ht="13.15" thickBot="1" x14ac:dyDescent="0.4">
      <c r="B38" s="123">
        <v>6</v>
      </c>
      <c r="C38" s="122">
        <v>9000000</v>
      </c>
      <c r="G38" s="291">
        <f t="shared" ref="G38:G44" si="2">+C38-E38</f>
        <v>9000000</v>
      </c>
    </row>
    <row r="39" spans="2:9" ht="13.15" thickBot="1" x14ac:dyDescent="0.4">
      <c r="B39" s="123">
        <v>13</v>
      </c>
      <c r="C39" s="122">
        <v>8000000</v>
      </c>
      <c r="D39" s="123">
        <v>13</v>
      </c>
      <c r="E39" s="122">
        <v>19000000</v>
      </c>
      <c r="G39" s="291"/>
    </row>
    <row r="40" spans="2:9" ht="13.15" thickBot="1" x14ac:dyDescent="0.4">
      <c r="B40" s="123">
        <v>21</v>
      </c>
      <c r="C40" s="122">
        <v>13000000</v>
      </c>
      <c r="D40" s="123">
        <v>21</v>
      </c>
      <c r="E40" s="122">
        <v>9000000</v>
      </c>
      <c r="G40" s="291">
        <f t="shared" si="2"/>
        <v>4000000</v>
      </c>
    </row>
    <row r="41" spans="2:9" ht="13.15" thickBot="1" x14ac:dyDescent="0.4">
      <c r="B41" s="123">
        <v>25</v>
      </c>
      <c r="C41" s="122">
        <v>10000000</v>
      </c>
      <c r="D41" s="123">
        <v>25</v>
      </c>
      <c r="E41" s="122">
        <v>1000000</v>
      </c>
      <c r="G41" s="291">
        <f t="shared" si="2"/>
        <v>9000000</v>
      </c>
    </row>
    <row r="42" spans="2:9" ht="13.15" thickBot="1" x14ac:dyDescent="0.4">
      <c r="B42" s="123">
        <v>28</v>
      </c>
      <c r="C42" s="122">
        <v>7000000</v>
      </c>
      <c r="D42" s="123">
        <v>28</v>
      </c>
      <c r="E42" s="122">
        <v>9000000</v>
      </c>
      <c r="G42" s="291"/>
    </row>
    <row r="43" spans="2:9" ht="13.15" thickBot="1" x14ac:dyDescent="0.4">
      <c r="B43" s="123">
        <v>31</v>
      </c>
      <c r="C43" s="122">
        <v>16000000</v>
      </c>
      <c r="D43" s="123"/>
      <c r="E43" s="122"/>
      <c r="G43" s="291">
        <f t="shared" si="2"/>
        <v>16000000</v>
      </c>
    </row>
    <row r="44" spans="2:9" ht="13.15" thickBot="1" x14ac:dyDescent="0.4">
      <c r="B44" s="123">
        <v>35</v>
      </c>
      <c r="C44" s="122">
        <v>15000000</v>
      </c>
      <c r="D44" s="123"/>
      <c r="E44" s="122"/>
      <c r="G44" s="292">
        <f t="shared" si="2"/>
        <v>15000000</v>
      </c>
      <c r="I44" s="294" t="s">
        <v>79</v>
      </c>
    </row>
    <row r="45" spans="2:9" ht="13.15" thickBot="1" x14ac:dyDescent="0.4">
      <c r="B45" s="127"/>
      <c r="C45" s="125">
        <f>SUM(C37:C44)</f>
        <v>88000000</v>
      </c>
      <c r="D45" s="123"/>
      <c r="E45" s="122"/>
      <c r="G45" s="289">
        <f>SUM(G37:G44)</f>
        <v>59000000</v>
      </c>
      <c r="I45" s="295">
        <f>ROUND((+G45/C45)*100,2)</f>
        <v>67.05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F5FCD23A78C942B18C7BA21921BD4A" ma:contentTypeVersion="6" ma:contentTypeDescription="Crear nuevo documento." ma:contentTypeScope="" ma:versionID="b5c51868d6968516367bc7633d90cd60">
  <xsd:schema xmlns:xsd="http://www.w3.org/2001/XMLSchema" xmlns:xs="http://www.w3.org/2001/XMLSchema" xmlns:p="http://schemas.microsoft.com/office/2006/metadata/properties" xmlns:ns2="8572cf96-fc25-4bcd-ad8a-6683d4ccb682" xmlns:ns3="b6f444db-307b-4c10-9fa5-06daa48ebded" targetNamespace="http://schemas.microsoft.com/office/2006/metadata/properties" ma:root="true" ma:fieldsID="edf9c32fb06f85082b2248dc63c03a33" ns2:_="" ns3:_="">
    <xsd:import namespace="8572cf96-fc25-4bcd-ad8a-6683d4ccb682"/>
    <xsd:import namespace="b6f444db-307b-4c10-9fa5-06daa48ebd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2cf96-fc25-4bcd-ad8a-6683d4ccb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444db-307b-4c10-9fa5-06daa48ebd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B31138-E5B5-45FF-99F7-9F034FC814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400A12-1CAB-4596-93D8-8F9542664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2cf96-fc25-4bcd-ad8a-6683d4ccb682"/>
    <ds:schemaRef ds:uri="b6f444db-307b-4c10-9fa5-06daa48eb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Bce Final</vt:lpstr>
      <vt:lpstr>Materialidad</vt:lpstr>
      <vt:lpstr>Diferidos</vt:lpstr>
      <vt:lpstr>Asientos Ajustes</vt:lpstr>
      <vt:lpstr>Leasing</vt:lpstr>
      <vt:lpstr>Deterioro cx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cfilgueira</dc:creator>
  <cp:lastModifiedBy>Carlos Andrés Filgueira</cp:lastModifiedBy>
  <cp:lastPrinted>2021-08-12T19:59:11Z</cp:lastPrinted>
  <dcterms:created xsi:type="dcterms:W3CDTF">2020-06-10T15:19:35Z</dcterms:created>
  <dcterms:modified xsi:type="dcterms:W3CDTF">2025-10-06T23:33:26Z</dcterms:modified>
</cp:coreProperties>
</file>