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2040" documentId="13_ncr:1_{CB984490-E7B6-46FD-8A39-99E839322D7E}" xr6:coauthVersionLast="47" xr6:coauthVersionMax="47" xr10:uidLastSave="{9F6A8F50-A6C0-49DC-AC81-6355716383ED}"/>
  <bookViews>
    <workbookView xWindow="43080" yWindow="-120" windowWidth="20640" windowHeight="11040" tabRatio="942" firstSheet="1" activeTab="7" xr2:uid="{00000000-000D-0000-FFFF-FFFF00000000}"/>
  </bookViews>
  <sheets>
    <sheet name="Bce 8 Columnas" sheetId="105" r:id="rId1"/>
    <sheet name="Bce Clasificado 31.12.2024" sheetId="106" r:id="rId2"/>
    <sheet name="Materialidad" sheetId="123" r:id="rId3"/>
    <sheet name="Analisis Inicial" sheetId="140" r:id="rId4"/>
    <sheet name="00 Ajustes Iniciales" sheetId="109" r:id="rId5"/>
    <sheet name="LET" sheetId="142" r:id="rId6"/>
    <sheet name="Hoja de Trabajo PPE" sheetId="144" r:id="rId7"/>
    <sheet name="01 PPE" sheetId="139" r:id="rId8"/>
    <sheet name="Hoja1" sheetId="145" r:id="rId9"/>
    <sheet name="Enfoque " sheetId="143" r:id="rId10"/>
    <sheet name="Antecedentes" sheetId="108" r:id="rId11"/>
    <sheet name="02 Efectivo" sheetId="110" r:id="rId12"/>
    <sheet name="03 Leasing" sheetId="112" r:id="rId13"/>
    <sheet name="03.01 Arriendo Operativo" sheetId="136" r:id="rId14"/>
    <sheet name="03.02 Arriendo Operativo" sheetId="135" r:id="rId15"/>
    <sheet name="03.03 Arriendo Operativo" sheetId="137" r:id="rId16"/>
    <sheet name="04 Inversiones" sheetId="113" r:id="rId17"/>
    <sheet name="05 Deterioro" sheetId="114" r:id="rId18"/>
    <sheet name="06 Préstamos" sheetId="125" r:id="rId19"/>
    <sheet name="07 Inventarios" sheetId="115" r:id="rId20"/>
    <sheet name="10 Prov" sheetId="118" r:id="rId21"/>
    <sheet name="09 Inv VP" sheetId="117" r:id="rId22"/>
    <sheet name="13 PPM" sheetId="138" r:id="rId23"/>
    <sheet name="08 Biologicos" sheetId="116" r:id="rId24"/>
    <sheet name="11 Intangibles" sheetId="119" r:id="rId25"/>
    <sheet name="12 Marcas" sheetId="121" r:id="rId26"/>
    <sheet name="14 Diferidos" sheetId="120" r:id="rId27"/>
    <sheet name="Datos" sheetId="6" r:id="rId28"/>
    <sheet name="Est Situacion" sheetId="1" r:id="rId29"/>
    <sheet name="E°R° Natural SVS " sheetId="53" r:id="rId30"/>
    <sheet name="Mov Patrimonial" sheetId="3" r:id="rId31"/>
    <sheet name="Conciliación de Patrimonio" sheetId="122" r:id="rId32"/>
    <sheet name="Div o Retiros" sheetId="62" r:id="rId33"/>
    <sheet name="Nº8a efec y eq" sheetId="11" r:id="rId34"/>
    <sheet name="Nº9 Col cred Social" sheetId="13" state="hidden" r:id="rId35"/>
    <sheet name="Nº10 Deu previsionales" sheetId="14" state="hidden" r:id="rId36"/>
    <sheet name="Nº11a Act x Mut Hip endo" sheetId="15" state="hidden" r:id="rId37"/>
    <sheet name="Nº11b Act x Mut Hip endo" sheetId="16" state="hidden" r:id="rId38"/>
    <sheet name="Nº12 Deu Com y otxcob cte" sheetId="17" r:id="rId39"/>
    <sheet name="N12 Estratificación CxC b)" sheetId="93" r:id="rId40"/>
    <sheet name="Nº12 Deu Com y otxcob cte (b)" sheetId="63" state="hidden" r:id="rId41"/>
    <sheet name="Nº21 Ot Act No Fin" sheetId="74" r:id="rId42"/>
    <sheet name="Nº16a ctas EERR" sheetId="21" r:id="rId43"/>
    <sheet name="Nº16b Trans EERR " sheetId="95" r:id="rId44"/>
    <sheet name="Nº16 Rem pers Clave" sheetId="23" r:id="rId45"/>
    <sheet name="Nº15 Inventario" sheetId="75" r:id="rId46"/>
    <sheet name="Nº19 Imp cte y dif" sheetId="26" r:id="rId47"/>
    <sheet name="Nº14 a) Inversion en Soc" sheetId="76" r:id="rId48"/>
    <sheet name="Nº17 Intangible" sheetId="77" r:id="rId49"/>
    <sheet name="Nº39 Plusvalia" sheetId="78" r:id="rId50"/>
    <sheet name="Nº18 Pr Plt Eq" sheetId="25" r:id="rId51"/>
    <sheet name="Nº20 Col cred Social" sheetId="79" state="hidden" r:id="rId52"/>
    <sheet name="Nº22 Pas x Mut Hip" sheetId="29" state="hidden" r:id="rId53"/>
    <sheet name="Nº23a Ot Pas Fin" sheetId="80" r:id="rId54"/>
    <sheet name="Nº24 Cta x pag Comerciales" sheetId="82" r:id="rId55"/>
    <sheet name="Nº25 Prov Cred Social" sheetId="83" state="hidden" r:id="rId56"/>
    <sheet name="Nº26 Ot Pas NO Fin" sheetId="92" r:id="rId57"/>
    <sheet name="Nº40 Benf a los empl" sheetId="90" r:id="rId58"/>
    <sheet name="Nº28 Ing Ord" sheetId="89" r:id="rId59"/>
    <sheet name="Nº29 Ing Int y Rea" sheetId="37" state="hidden" r:id="rId60"/>
    <sheet name="Nº30 Gto x Int y Rea" sheetId="38" state="hidden" r:id="rId61"/>
    <sheet name="Nº31 Prestaciones adic" sheetId="39" state="hidden" r:id="rId62"/>
    <sheet name="Nº32 Ing Gto por Comisiones" sheetId="40" state="hidden" r:id="rId63"/>
    <sheet name="Nº33 Prov por riesgo cred" sheetId="41" state="hidden" r:id="rId64"/>
    <sheet name="Nº34 Ot Ing y gtos operacionale" sheetId="88" state="hidden" r:id="rId65"/>
    <sheet name="Nº35 Rem y Gto personal" sheetId="87" r:id="rId66"/>
    <sheet name="Nº36 Gto Adm" sheetId="44" r:id="rId67"/>
    <sheet name="Nº36 a) Gto benef a empleados " sheetId="56" r:id="rId68"/>
    <sheet name="Nº36 b) Deterioro" sheetId="57" r:id="rId69"/>
    <sheet name="Nº36 c) Otros gtos por nat" sheetId="58" r:id="rId70"/>
    <sheet name="Nº42 Otr Gan (Per)" sheetId="61" r:id="rId71"/>
    <sheet name="Nº 41 Costo finan" sheetId="86" r:id="rId72"/>
    <sheet name="Nº 43 Liquidez" sheetId="64" r:id="rId73"/>
    <sheet name="Nº45 nºempleados" sheetId="66" r:id="rId74"/>
    <sheet name="Nº46 Contingencias" sheetId="71" r:id="rId75"/>
    <sheet name="Nº37 Aun-Dis coloc credi socia" sheetId="85" state="hidden" r:id="rId76"/>
  </sheets>
  <externalReferences>
    <externalReference r:id="rId77"/>
  </externalReferences>
  <definedNames>
    <definedName name="_xlnm._FilterDatabase" localSheetId="43" hidden="1">'Nº16b Trans EERR '!$M$10:$M$15</definedName>
    <definedName name="AgrupacionSVS" localSheetId="43">'Nº16b Trans EERR '!$M$26:$M$35</definedName>
    <definedName name="AgrupacionSVS">#REF!</definedName>
    <definedName name="Antecedentes" localSheetId="67">#REF!</definedName>
    <definedName name="Antecedentes" localSheetId="68">#REF!</definedName>
    <definedName name="Antecedentes" localSheetId="69">#REF!</definedName>
    <definedName name="_xlnm.Print_Area" localSheetId="27">Datos!$A$1:$G$47</definedName>
    <definedName name="_xlnm.Print_Area" localSheetId="29">'E°R° Natural SVS '!$A$1:$H$35</definedName>
    <definedName name="_xlnm.Print_Area" localSheetId="28">'Est Situacion'!$A$1:$L$87</definedName>
    <definedName name="Costos_Financieros">'Nº16b Trans EERR '!$V$26:$V$30</definedName>
    <definedName name="Datos" localSheetId="67">#REF!</definedName>
    <definedName name="Datos" localSheetId="68">#REF!</definedName>
    <definedName name="Datos" localSheetId="69">#REF!</definedName>
    <definedName name="Diferencia_de_Cambio">'Nº16b Trans EERR '!$W$26</definedName>
    <definedName name="FechaRº">Datos!$G$36:$H$40</definedName>
    <definedName name="Gastos_Beneficios_Empleados">'Nº16b Trans EERR '!$P$26:$P$30</definedName>
    <definedName name="Gastos_Depreciacion_amortizacion">'Nº16b Trans EERR '!$Q$26</definedName>
    <definedName name="Ingresos_Financieros">'Nº16b Trans EERR '!$U$26</definedName>
    <definedName name="Materias_Primas_Consumibles">'Nº16b Trans EERR '!$O$26</definedName>
    <definedName name="Materias_Primas_y_Consumibles">'Nº16b Trans EERR '!$O$26</definedName>
    <definedName name="Otras_ganancias_perdidas">'Nº16b Trans EERR '!$T$26:$T$33</definedName>
    <definedName name="Otros_gastos_por_Naturaleza">'Nº16b Trans EERR '!$S$26:$S$43</definedName>
    <definedName name="Otros_Ingresos_por_Naturaleza">'Nº16b Trans EERR '!$N$26:$N$50</definedName>
    <definedName name="Otros_Ingresos_por_Servicios">'Nº16b Trans EERR '!$N$26:$N$50</definedName>
    <definedName name="Remuneraciones_del_personal">'Nº16b Trans EERR '!$P$26:$P$30</definedName>
    <definedName name="Reversion_Perdidas_por_Deterioro">'Nº16b Trans EERR '!$R$26:$R$27</definedName>
    <definedName name="Reversión_perdidas_por_Deterioro">'Nº16b Trans EERR '!$R$26:$R$27</definedName>
    <definedName name="Reversión_Pérdidas_por_Deterioro">'Nº16b Trans EERR '!$R$26:$R$27</definedName>
    <definedName name="Sociedad" comment="Sociedad!" localSheetId="67">#REF!</definedName>
    <definedName name="Sociedad" comment="Sociedad!" localSheetId="68">#REF!</definedName>
    <definedName name="Sociedad" comment="Sociedad!" localSheetId="69">#REF!</definedName>
    <definedName name="Sociedades" localSheetId="67">#REF!</definedName>
    <definedName name="Sociedades" localSheetId="68">#REF!</definedName>
    <definedName name="Sociedades" localSheetId="69">#REF!</definedName>
    <definedName name="_xlnm.Print_Titles" localSheetId="28">'Est Situacion'!$1:$5</definedName>
    <definedName name="_xlnm.Print_Titles" localSheetId="42">'Nº16a ctas EERR'!$1:$1</definedName>
    <definedName name="_xlnm.Print_Titles" localSheetId="46">'Nº19 Imp cte y dif'!$1:$1</definedName>
    <definedName name="_xlnm.Print_Titles" localSheetId="52">'Nº22 Pas x Mut Hip'!$1:$1</definedName>
    <definedName name="_xlnm.Print_Titles" localSheetId="33">'Nº8a efec y eq'!$1:$1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9" i="106" l="1"/>
  <c r="F121" i="106"/>
  <c r="D121" i="106"/>
  <c r="E120" i="106"/>
  <c r="E119" i="106"/>
  <c r="E118" i="106"/>
  <c r="K76" i="106"/>
  <c r="F291" i="139"/>
  <c r="F292" i="139"/>
  <c r="F297" i="139" s="1"/>
  <c r="G298" i="139" s="1"/>
  <c r="G297" i="139"/>
  <c r="G295" i="139"/>
  <c r="G294" i="139"/>
  <c r="G293" i="139"/>
  <c r="D295" i="139"/>
  <c r="D294" i="139"/>
  <c r="D293" i="139"/>
  <c r="C292" i="139"/>
  <c r="B295" i="139"/>
  <c r="B294" i="139"/>
  <c r="G284" i="139"/>
  <c r="G285" i="139"/>
  <c r="G283" i="139"/>
  <c r="F284" i="139"/>
  <c r="F285" i="139"/>
  <c r="E284" i="139"/>
  <c r="E285" i="139"/>
  <c r="F283" i="139"/>
  <c r="E283" i="139"/>
  <c r="C285" i="139"/>
  <c r="C284" i="139"/>
  <c r="C283" i="139"/>
  <c r="F118" i="106"/>
  <c r="F119" i="106"/>
  <c r="F120" i="106"/>
  <c r="F279" i="139"/>
  <c r="F280" i="139"/>
  <c r="F278" i="139"/>
  <c r="C279" i="139"/>
  <c r="C280" i="139"/>
  <c r="C278" i="139"/>
  <c r="C271" i="139"/>
  <c r="G263" i="139"/>
  <c r="F263" i="139"/>
  <c r="C264" i="139"/>
  <c r="C267" i="139" s="1"/>
  <c r="D272" i="139" s="1"/>
  <c r="E264" i="139"/>
  <c r="E263" i="139"/>
  <c r="E265" i="139" s="1"/>
  <c r="E267" i="139" s="1"/>
  <c r="C263" i="139"/>
  <c r="B255" i="139"/>
  <c r="B256" i="139" s="1"/>
  <c r="D255" i="139"/>
  <c r="D256" i="139"/>
  <c r="D254" i="139"/>
  <c r="C253" i="139"/>
  <c r="E247" i="139"/>
  <c r="E248" i="139"/>
  <c r="C239" i="139"/>
  <c r="F231" i="139"/>
  <c r="E232" i="139"/>
  <c r="E231" i="139"/>
  <c r="E233" i="139" s="1"/>
  <c r="C232" i="139"/>
  <c r="C231" i="139"/>
  <c r="C235" i="139"/>
  <c r="D240" i="139" s="1"/>
  <c r="E219" i="139"/>
  <c r="F223" i="139" s="1"/>
  <c r="G224" i="139" s="1"/>
  <c r="C219" i="139"/>
  <c r="D224" i="139" s="1"/>
  <c r="E217" i="139"/>
  <c r="E204" i="139"/>
  <c r="F209" i="139" s="1"/>
  <c r="C203" i="139"/>
  <c r="D210" i="139" s="1"/>
  <c r="E201" i="139"/>
  <c r="E203" i="139" s="1"/>
  <c r="G210" i="139" s="1"/>
  <c r="E187" i="139"/>
  <c r="F193" i="139" s="1"/>
  <c r="E186" i="139"/>
  <c r="G194" i="139" s="1"/>
  <c r="C186" i="139"/>
  <c r="D194" i="139" s="1"/>
  <c r="C172" i="139"/>
  <c r="C171" i="139"/>
  <c r="C170" i="139"/>
  <c r="D170" i="139"/>
  <c r="D171" i="139" s="1"/>
  <c r="D172" i="139" s="1"/>
  <c r="B169" i="139"/>
  <c r="B168" i="139"/>
  <c r="B167" i="139"/>
  <c r="F159" i="139"/>
  <c r="F169" i="139" s="1"/>
  <c r="F158" i="139"/>
  <c r="F168" i="139" s="1"/>
  <c r="E116" i="106" s="1"/>
  <c r="F116" i="106" s="1"/>
  <c r="F157" i="139"/>
  <c r="F167" i="139" s="1"/>
  <c r="E115" i="106" s="1"/>
  <c r="F115" i="106" s="1"/>
  <c r="C159" i="139"/>
  <c r="C169" i="139" s="1"/>
  <c r="C158" i="139"/>
  <c r="C168" i="139" s="1"/>
  <c r="C157" i="139"/>
  <c r="C167" i="139" s="1"/>
  <c r="C155" i="139"/>
  <c r="C164" i="139" s="1"/>
  <c r="C154" i="139"/>
  <c r="D165" i="139" s="1"/>
  <c r="C153" i="139"/>
  <c r="B141" i="139"/>
  <c r="B142" i="139" s="1"/>
  <c r="B143" i="139" s="1"/>
  <c r="F133" i="139"/>
  <c r="F143" i="139" s="1"/>
  <c r="E111" i="106" s="1"/>
  <c r="F132" i="139"/>
  <c r="F142" i="139" s="1"/>
  <c r="E110" i="106" s="1"/>
  <c r="F131" i="139"/>
  <c r="F141" i="139" s="1"/>
  <c r="E109" i="106" s="1"/>
  <c r="C132" i="139"/>
  <c r="C142" i="139" s="1"/>
  <c r="C247" i="139" s="1"/>
  <c r="C133" i="139"/>
  <c r="C143" i="139" s="1"/>
  <c r="C248" i="139" s="1"/>
  <c r="C131" i="139"/>
  <c r="C141" i="139" s="1"/>
  <c r="C246" i="139" s="1"/>
  <c r="E129" i="139"/>
  <c r="F138" i="139" s="1"/>
  <c r="E128" i="139"/>
  <c r="G139" i="139" s="1"/>
  <c r="E98" i="106" s="1"/>
  <c r="C129" i="139"/>
  <c r="C138" i="139" s="1"/>
  <c r="C128" i="139"/>
  <c r="D139" i="139" s="1"/>
  <c r="C127" i="139"/>
  <c r="C113" i="139"/>
  <c r="F108" i="139"/>
  <c r="C106" i="139"/>
  <c r="C120" i="139" s="1"/>
  <c r="F86" i="139"/>
  <c r="C84" i="139"/>
  <c r="C98" i="139" s="1"/>
  <c r="D70" i="139"/>
  <c r="C187" i="139" s="1"/>
  <c r="C193" i="139" s="1"/>
  <c r="C204" i="139" s="1"/>
  <c r="C209" i="139" s="1"/>
  <c r="F64" i="139"/>
  <c r="C63" i="139"/>
  <c r="C77" i="139" s="1"/>
  <c r="C62" i="139"/>
  <c r="C76" i="139" s="1"/>
  <c r="C61" i="139"/>
  <c r="C83" i="139" s="1"/>
  <c r="C53" i="139"/>
  <c r="B54" i="139"/>
  <c r="B53" i="139"/>
  <c r="D51" i="139"/>
  <c r="C50" i="139"/>
  <c r="D48" i="139"/>
  <c r="D54" i="139" s="1"/>
  <c r="D93" i="139" s="1"/>
  <c r="C47" i="139"/>
  <c r="F43" i="139"/>
  <c r="F42" i="139"/>
  <c r="F41" i="139"/>
  <c r="C43" i="139"/>
  <c r="C42" i="139"/>
  <c r="C41" i="139"/>
  <c r="A106" i="142"/>
  <c r="C106" i="142" s="1"/>
  <c r="A105" i="142"/>
  <c r="C105" i="142" s="1"/>
  <c r="A102" i="142"/>
  <c r="A103" i="142" s="1"/>
  <c r="A104" i="142" s="1"/>
  <c r="A101" i="142"/>
  <c r="C101" i="142" s="1"/>
  <c r="A98" i="142"/>
  <c r="A99" i="142" s="1"/>
  <c r="A100" i="142" s="1"/>
  <c r="A94" i="142"/>
  <c r="A95" i="142" s="1"/>
  <c r="A96" i="142" s="1"/>
  <c r="A97" i="142" s="1"/>
  <c r="A93" i="142"/>
  <c r="C93" i="142" s="1"/>
  <c r="A89" i="142"/>
  <c r="A90" i="142" s="1"/>
  <c r="A91" i="142" s="1"/>
  <c r="A92" i="142" s="1"/>
  <c r="A88" i="142"/>
  <c r="C88" i="142" s="1"/>
  <c r="D82" i="142"/>
  <c r="A81" i="142"/>
  <c r="A82" i="142" s="1"/>
  <c r="A83" i="142" s="1"/>
  <c r="A84" i="142" s="1"/>
  <c r="A85" i="142" s="1"/>
  <c r="A86" i="142" s="1"/>
  <c r="A87" i="142" s="1"/>
  <c r="A75" i="142"/>
  <c r="A76" i="142" s="1"/>
  <c r="A77" i="142" s="1"/>
  <c r="A78" i="142" s="1"/>
  <c r="A79" i="142" s="1"/>
  <c r="A80" i="142" s="1"/>
  <c r="A74" i="142"/>
  <c r="A72" i="142"/>
  <c r="A73" i="142" s="1"/>
  <c r="A71" i="142"/>
  <c r="C71" i="142" s="1"/>
  <c r="A70" i="142"/>
  <c r="A69" i="142"/>
  <c r="A65" i="142"/>
  <c r="A66" i="142" s="1"/>
  <c r="A67" i="142" s="1"/>
  <c r="A68" i="142" s="1"/>
  <c r="A58" i="142"/>
  <c r="A59" i="142" s="1"/>
  <c r="A60" i="142" s="1"/>
  <c r="A61" i="142" s="1"/>
  <c r="A62" i="142" s="1"/>
  <c r="A63" i="142" s="1"/>
  <c r="A64" i="142" s="1"/>
  <c r="A53" i="142"/>
  <c r="A54" i="142" s="1"/>
  <c r="A55" i="142" s="1"/>
  <c r="A56" i="142" s="1"/>
  <c r="A57" i="142" s="1"/>
  <c r="A52" i="142"/>
  <c r="C52" i="142" s="1"/>
  <c r="A50" i="142"/>
  <c r="A51" i="142" s="1"/>
  <c r="A49" i="142"/>
  <c r="C49" i="142" s="1"/>
  <c r="A48" i="142"/>
  <c r="C48" i="142" s="1"/>
  <c r="A44" i="142"/>
  <c r="A45" i="142" s="1"/>
  <c r="A46" i="142" s="1"/>
  <c r="A47" i="142" s="1"/>
  <c r="A43" i="142"/>
  <c r="C43" i="142" s="1"/>
  <c r="A42" i="142"/>
  <c r="A39" i="142"/>
  <c r="A40" i="142" s="1"/>
  <c r="A41" i="142" s="1"/>
  <c r="A36" i="142"/>
  <c r="A37" i="142" s="1"/>
  <c r="A38" i="142" s="1"/>
  <c r="A28" i="142"/>
  <c r="A29" i="142" s="1"/>
  <c r="A30" i="142" s="1"/>
  <c r="A31" i="142" s="1"/>
  <c r="A32" i="142" s="1"/>
  <c r="A33" i="142" s="1"/>
  <c r="A34" i="142" s="1"/>
  <c r="A35" i="142" s="1"/>
  <c r="D27" i="142"/>
  <c r="A23" i="142"/>
  <c r="A24" i="142" s="1"/>
  <c r="A25" i="142" s="1"/>
  <c r="A26" i="142" s="1"/>
  <c r="A27" i="142" s="1"/>
  <c r="A17" i="142"/>
  <c r="A18" i="142" s="1"/>
  <c r="A19" i="142" s="1"/>
  <c r="A20" i="142" s="1"/>
  <c r="A21" i="142" s="1"/>
  <c r="A22" i="142" s="1"/>
  <c r="A9" i="142"/>
  <c r="A10" i="142" s="1"/>
  <c r="A11" i="142" s="1"/>
  <c r="A12" i="142" s="1"/>
  <c r="A13" i="142" s="1"/>
  <c r="A14" i="142" s="1"/>
  <c r="A15" i="142" s="1"/>
  <c r="A16" i="142" s="1"/>
  <c r="E202" i="106"/>
  <c r="G131" i="109"/>
  <c r="F130" i="109"/>
  <c r="B125" i="109"/>
  <c r="B112" i="109"/>
  <c r="F110" i="109"/>
  <c r="B99" i="109"/>
  <c r="F97" i="109"/>
  <c r="C91" i="109"/>
  <c r="B86" i="109"/>
  <c r="F84" i="109"/>
  <c r="C84" i="109"/>
  <c r="E193" i="106"/>
  <c r="G79" i="109"/>
  <c r="F78" i="109"/>
  <c r="B73" i="109"/>
  <c r="G71" i="109"/>
  <c r="F71" i="109"/>
  <c r="B60" i="109"/>
  <c r="F58" i="109"/>
  <c r="B47" i="109"/>
  <c r="F45" i="109"/>
  <c r="B34" i="109"/>
  <c r="F32" i="109"/>
  <c r="B20" i="109"/>
  <c r="F18" i="109"/>
  <c r="C18" i="109"/>
  <c r="D27" i="109" s="1"/>
  <c r="B7" i="109"/>
  <c r="F5" i="109"/>
  <c r="G5" i="109" s="1"/>
  <c r="F12" i="109" s="1"/>
  <c r="E5" i="109"/>
  <c r="C5" i="109"/>
  <c r="D13" i="109" s="1"/>
  <c r="L22" i="123"/>
  <c r="L23" i="123" s="1"/>
  <c r="H23" i="123"/>
  <c r="H22" i="123"/>
  <c r="D210" i="106"/>
  <c r="D106" i="142" s="1"/>
  <c r="B210" i="106"/>
  <c r="D181" i="106"/>
  <c r="D92" i="142" s="1"/>
  <c r="B181" i="106"/>
  <c r="C92" i="142" s="1"/>
  <c r="D190" i="106"/>
  <c r="D97" i="142" s="1"/>
  <c r="D189" i="106"/>
  <c r="D96" i="142" s="1"/>
  <c r="B190" i="106"/>
  <c r="C97" i="142" s="1"/>
  <c r="B189" i="106"/>
  <c r="C96" i="142" s="1"/>
  <c r="D203" i="106"/>
  <c r="D104" i="142" s="1"/>
  <c r="D202" i="106"/>
  <c r="D103" i="142" s="1"/>
  <c r="D201" i="106"/>
  <c r="D102" i="142" s="1"/>
  <c r="B202" i="106"/>
  <c r="D131" i="109" s="1"/>
  <c r="B203" i="106"/>
  <c r="C104" i="142" s="1"/>
  <c r="B201" i="106"/>
  <c r="C102" i="142" s="1"/>
  <c r="D207" i="106"/>
  <c r="D105" i="142" s="1"/>
  <c r="B207" i="106"/>
  <c r="D194" i="106"/>
  <c r="D195" i="106"/>
  <c r="D100" i="142" s="1"/>
  <c r="D193" i="106"/>
  <c r="D98" i="142" s="1"/>
  <c r="B194" i="106"/>
  <c r="C99" i="142" s="1"/>
  <c r="B195" i="106"/>
  <c r="C100" i="142" s="1"/>
  <c r="B193" i="106"/>
  <c r="C98" i="142" s="1"/>
  <c r="D184" i="106"/>
  <c r="D93" i="142" s="1"/>
  <c r="B184" i="106"/>
  <c r="D188" i="106"/>
  <c r="D95" i="142" s="1"/>
  <c r="D187" i="106"/>
  <c r="D94" i="142" s="1"/>
  <c r="B188" i="106"/>
  <c r="C95" i="142" s="1"/>
  <c r="B187" i="106"/>
  <c r="C94" i="142" s="1"/>
  <c r="D180" i="106"/>
  <c r="D91" i="142" s="1"/>
  <c r="D179" i="106"/>
  <c r="D90" i="142" s="1"/>
  <c r="D178" i="106"/>
  <c r="D89" i="142" s="1"/>
  <c r="B179" i="106"/>
  <c r="C90" i="142" s="1"/>
  <c r="B180" i="106"/>
  <c r="C91" i="142" s="1"/>
  <c r="B178" i="106"/>
  <c r="C89" i="142" s="1"/>
  <c r="D169" i="106"/>
  <c r="D171" i="106"/>
  <c r="D172" i="106"/>
  <c r="D173" i="106"/>
  <c r="F173" i="106" s="1"/>
  <c r="D168" i="106"/>
  <c r="D176" i="106" s="1"/>
  <c r="B173" i="106"/>
  <c r="B169" i="106"/>
  <c r="C291" i="139" s="1"/>
  <c r="B171" i="106"/>
  <c r="B172" i="106"/>
  <c r="C192" i="139" s="1"/>
  <c r="C208" i="139" s="1"/>
  <c r="C223" i="139" s="1"/>
  <c r="B168" i="106"/>
  <c r="D198" i="106"/>
  <c r="D101" i="142" s="1"/>
  <c r="B198" i="106"/>
  <c r="D151" i="106"/>
  <c r="D76" i="142" s="1"/>
  <c r="D152" i="106"/>
  <c r="D77" i="142" s="1"/>
  <c r="D153" i="106"/>
  <c r="D78" i="142" s="1"/>
  <c r="D154" i="106"/>
  <c r="D79" i="142" s="1"/>
  <c r="D155" i="106"/>
  <c r="D80" i="142" s="1"/>
  <c r="D150" i="106"/>
  <c r="D75" i="142" s="1"/>
  <c r="B154" i="106"/>
  <c r="C79" i="142" s="1"/>
  <c r="B155" i="106"/>
  <c r="C80" i="142" s="1"/>
  <c r="B151" i="106"/>
  <c r="C26" i="109" s="1"/>
  <c r="B152" i="106"/>
  <c r="C77" i="142" s="1"/>
  <c r="B153" i="106"/>
  <c r="C78" i="142" s="1"/>
  <c r="B150" i="106"/>
  <c r="C75" i="142" s="1"/>
  <c r="D160" i="106"/>
  <c r="D161" i="106"/>
  <c r="D83" i="142" s="1"/>
  <c r="D162" i="106"/>
  <c r="D84" i="142" s="1"/>
  <c r="D163" i="106"/>
  <c r="D85" i="142" s="1"/>
  <c r="D164" i="106"/>
  <c r="D86" i="142" s="1"/>
  <c r="D165" i="106"/>
  <c r="D87" i="142" s="1"/>
  <c r="D159" i="106"/>
  <c r="D81" i="142" s="1"/>
  <c r="B160" i="106"/>
  <c r="C82" i="142" s="1"/>
  <c r="B161" i="106"/>
  <c r="C83" i="142" s="1"/>
  <c r="B162" i="106"/>
  <c r="C84" i="142" s="1"/>
  <c r="B163" i="106"/>
  <c r="C85" i="142" s="1"/>
  <c r="B164" i="106"/>
  <c r="C86" i="142" s="1"/>
  <c r="B165" i="106"/>
  <c r="C87" i="142" s="1"/>
  <c r="B159" i="106"/>
  <c r="C81" i="142" s="1"/>
  <c r="D147" i="106"/>
  <c r="B147" i="106"/>
  <c r="C74" i="142" s="1"/>
  <c r="D144" i="106"/>
  <c r="D73" i="142" s="1"/>
  <c r="B144" i="106"/>
  <c r="C73" i="142" s="1"/>
  <c r="D143" i="106"/>
  <c r="D72" i="142" s="1"/>
  <c r="B143" i="106"/>
  <c r="C72" i="142" s="1"/>
  <c r="J79" i="106"/>
  <c r="H79" i="106"/>
  <c r="D92" i="109" s="1"/>
  <c r="J71" i="106"/>
  <c r="E123" i="109" s="1"/>
  <c r="F123" i="109" s="1"/>
  <c r="J70" i="106"/>
  <c r="H71" i="106"/>
  <c r="C123" i="109" s="1"/>
  <c r="C130" i="109" s="1"/>
  <c r="H70" i="106"/>
  <c r="J60" i="106"/>
  <c r="H60" i="106"/>
  <c r="J63" i="106"/>
  <c r="D70" i="142" s="1"/>
  <c r="H63" i="106"/>
  <c r="C70" i="142" s="1"/>
  <c r="J41" i="106"/>
  <c r="J42" i="106" s="1"/>
  <c r="H41" i="106"/>
  <c r="C69" i="142" s="1"/>
  <c r="J36" i="106"/>
  <c r="D66" i="142" s="1"/>
  <c r="J37" i="106"/>
  <c r="D67" i="142" s="1"/>
  <c r="J38" i="106"/>
  <c r="D68" i="142" s="1"/>
  <c r="J35" i="106"/>
  <c r="H36" i="106"/>
  <c r="C66" i="142" s="1"/>
  <c r="H37" i="106"/>
  <c r="C67" i="142" s="1"/>
  <c r="H38" i="106"/>
  <c r="C68" i="142" s="1"/>
  <c r="H35" i="106"/>
  <c r="C65" i="142" s="1"/>
  <c r="J22" i="106"/>
  <c r="D59" i="142" s="1"/>
  <c r="J23" i="106"/>
  <c r="D60" i="142" s="1"/>
  <c r="J24" i="106"/>
  <c r="D61" i="142" s="1"/>
  <c r="J25" i="106"/>
  <c r="D62" i="142" s="1"/>
  <c r="J26" i="106"/>
  <c r="D63" i="142" s="1"/>
  <c r="J27" i="106"/>
  <c r="E110" i="109" s="1"/>
  <c r="G110" i="109" s="1"/>
  <c r="F117" i="109" s="1"/>
  <c r="J21" i="106"/>
  <c r="D58" i="142" s="1"/>
  <c r="H22" i="106"/>
  <c r="C59" i="142" s="1"/>
  <c r="H23" i="106"/>
  <c r="C60" i="142" s="1"/>
  <c r="H24" i="106"/>
  <c r="C61" i="142" s="1"/>
  <c r="H25" i="106"/>
  <c r="C62" i="142" s="1"/>
  <c r="H26" i="106"/>
  <c r="C63" i="142" s="1"/>
  <c r="H27" i="106"/>
  <c r="C64" i="142" s="1"/>
  <c r="H21" i="106"/>
  <c r="C58" i="142" s="1"/>
  <c r="J18" i="106"/>
  <c r="D57" i="142" s="1"/>
  <c r="J15" i="106"/>
  <c r="D54" i="142" s="1"/>
  <c r="J16" i="106"/>
  <c r="D55" i="142" s="1"/>
  <c r="J17" i="106"/>
  <c r="D56" i="142" s="1"/>
  <c r="J14" i="106"/>
  <c r="H15" i="106"/>
  <c r="C54" i="142" s="1"/>
  <c r="H16" i="106"/>
  <c r="C55" i="142" s="1"/>
  <c r="H17" i="106"/>
  <c r="C56" i="142" s="1"/>
  <c r="H18" i="106"/>
  <c r="C57" i="142" s="1"/>
  <c r="H14" i="106"/>
  <c r="C53" i="142" s="1"/>
  <c r="D129" i="106"/>
  <c r="D52" i="142" s="1"/>
  <c r="B129" i="106"/>
  <c r="D124" i="106"/>
  <c r="D51" i="142" s="1"/>
  <c r="B124" i="106"/>
  <c r="C51" i="142" s="1"/>
  <c r="D123" i="106"/>
  <c r="D50" i="142" s="1"/>
  <c r="B123" i="106"/>
  <c r="C50" i="142" s="1"/>
  <c r="D105" i="106"/>
  <c r="E155" i="139" s="1"/>
  <c r="D106" i="106"/>
  <c r="D107" i="106"/>
  <c r="D108" i="106"/>
  <c r="D104" i="106"/>
  <c r="D102" i="106"/>
  <c r="E38" i="139" s="1"/>
  <c r="D103" i="106"/>
  <c r="D101" i="106"/>
  <c r="B108" i="106"/>
  <c r="B107" i="106"/>
  <c r="B102" i="106"/>
  <c r="B103" i="106"/>
  <c r="B105" i="106"/>
  <c r="B106" i="106"/>
  <c r="B101" i="106"/>
  <c r="D98" i="106"/>
  <c r="D99" i="106"/>
  <c r="D100" i="106"/>
  <c r="D97" i="106"/>
  <c r="E154" i="139" s="1"/>
  <c r="G165" i="139" s="1"/>
  <c r="E97" i="106" s="1"/>
  <c r="B98" i="106"/>
  <c r="B99" i="106"/>
  <c r="B100" i="106"/>
  <c r="B97" i="106"/>
  <c r="D94" i="106"/>
  <c r="D93" i="106"/>
  <c r="B94" i="106"/>
  <c r="B93" i="106"/>
  <c r="D88" i="106"/>
  <c r="D45" i="142" s="1"/>
  <c r="D89" i="106"/>
  <c r="D46" i="142" s="1"/>
  <c r="D90" i="106"/>
  <c r="D47" i="142" s="1"/>
  <c r="D87" i="106"/>
  <c r="B88" i="106"/>
  <c r="C45" i="142" s="1"/>
  <c r="B89" i="106"/>
  <c r="C46" i="142" s="1"/>
  <c r="B90" i="106"/>
  <c r="C47" i="142" s="1"/>
  <c r="B87" i="106"/>
  <c r="C44" i="142" s="1"/>
  <c r="D78" i="106"/>
  <c r="D79" i="106"/>
  <c r="D80" i="106"/>
  <c r="D81" i="106"/>
  <c r="D82" i="106"/>
  <c r="D83" i="106"/>
  <c r="D77" i="106"/>
  <c r="B78" i="106"/>
  <c r="B79" i="106"/>
  <c r="B80" i="106"/>
  <c r="B81" i="106"/>
  <c r="B82" i="106"/>
  <c r="B83" i="106"/>
  <c r="B77" i="106"/>
  <c r="D57" i="106"/>
  <c r="D40" i="142" s="1"/>
  <c r="D58" i="106"/>
  <c r="D41" i="142" s="1"/>
  <c r="D56" i="106"/>
  <c r="B57" i="106"/>
  <c r="C40" i="142" s="1"/>
  <c r="B58" i="106"/>
  <c r="C41" i="142" s="1"/>
  <c r="B56" i="106"/>
  <c r="C39" i="142" s="1"/>
  <c r="D61" i="106"/>
  <c r="D42" i="142" s="1"/>
  <c r="B61" i="106"/>
  <c r="C42" i="142" s="1"/>
  <c r="D52" i="106"/>
  <c r="D37" i="142" s="1"/>
  <c r="D53" i="106"/>
  <c r="D38" i="142" s="1"/>
  <c r="D51" i="106"/>
  <c r="B52" i="106"/>
  <c r="C37" i="142" s="1"/>
  <c r="B53" i="106"/>
  <c r="C38" i="142" s="1"/>
  <c r="B51" i="106"/>
  <c r="C36" i="142" s="1"/>
  <c r="D46" i="106"/>
  <c r="D35" i="142" s="1"/>
  <c r="D45" i="106"/>
  <c r="D34" i="142" s="1"/>
  <c r="D40" i="106"/>
  <c r="D29" i="142" s="1"/>
  <c r="D41" i="106"/>
  <c r="D30" i="142" s="1"/>
  <c r="D42" i="106"/>
  <c r="D31" i="142" s="1"/>
  <c r="D43" i="106"/>
  <c r="D32" i="142" s="1"/>
  <c r="D44" i="106"/>
  <c r="E58" i="109" s="1"/>
  <c r="G58" i="109" s="1"/>
  <c r="G66" i="109" s="1"/>
  <c r="D39" i="106"/>
  <c r="D28" i="142" s="1"/>
  <c r="B45" i="106"/>
  <c r="C34" i="142" s="1"/>
  <c r="B46" i="106"/>
  <c r="C35" i="142" s="1"/>
  <c r="B40" i="106"/>
  <c r="C29" i="142" s="1"/>
  <c r="B41" i="106"/>
  <c r="C30" i="142" s="1"/>
  <c r="B42" i="106"/>
  <c r="C31" i="142" s="1"/>
  <c r="B43" i="106"/>
  <c r="C32" i="142" s="1"/>
  <c r="B44" i="106"/>
  <c r="C58" i="109" s="1"/>
  <c r="D66" i="109" s="1"/>
  <c r="B39" i="106"/>
  <c r="C28" i="142" s="1"/>
  <c r="D33" i="106"/>
  <c r="D24" i="142" s="1"/>
  <c r="D34" i="106"/>
  <c r="D25" i="142" s="1"/>
  <c r="D35" i="106"/>
  <c r="D26" i="142" s="1"/>
  <c r="D36" i="106"/>
  <c r="D32" i="106"/>
  <c r="D23" i="142" s="1"/>
  <c r="B33" i="106"/>
  <c r="C24" i="142" s="1"/>
  <c r="B34" i="106"/>
  <c r="C25" i="142" s="1"/>
  <c r="B35" i="106"/>
  <c r="C26" i="142" s="1"/>
  <c r="B36" i="106"/>
  <c r="C27" i="142" s="1"/>
  <c r="B32" i="106"/>
  <c r="C23" i="142" s="1"/>
  <c r="D29" i="106"/>
  <c r="D22" i="142" s="1"/>
  <c r="B29" i="106"/>
  <c r="C22" i="142" s="1"/>
  <c r="D28" i="106"/>
  <c r="D21" i="142" s="1"/>
  <c r="B28" i="106"/>
  <c r="C21" i="142" s="1"/>
  <c r="D27" i="106"/>
  <c r="D20" i="142" s="1"/>
  <c r="B27" i="106"/>
  <c r="C20" i="142" s="1"/>
  <c r="D26" i="106"/>
  <c r="D19" i="142" s="1"/>
  <c r="B26" i="106"/>
  <c r="C19" i="142" s="1"/>
  <c r="D25" i="106"/>
  <c r="D18" i="142" s="1"/>
  <c r="B25" i="106"/>
  <c r="C18" i="142" s="1"/>
  <c r="D24" i="106"/>
  <c r="D17" i="142" s="1"/>
  <c r="B24" i="106"/>
  <c r="C17" i="142" s="1"/>
  <c r="D21" i="106"/>
  <c r="D16" i="142" s="1"/>
  <c r="B21" i="106"/>
  <c r="C16" i="142" s="1"/>
  <c r="D20" i="106"/>
  <c r="D15" i="142" s="1"/>
  <c r="B20" i="106"/>
  <c r="C15" i="142" s="1"/>
  <c r="D19" i="106"/>
  <c r="D14" i="142" s="1"/>
  <c r="B19" i="106"/>
  <c r="C14" i="142" s="1"/>
  <c r="D18" i="106"/>
  <c r="D13" i="142" s="1"/>
  <c r="B18" i="106"/>
  <c r="C13" i="142" s="1"/>
  <c r="D17" i="106"/>
  <c r="D12" i="142" s="1"/>
  <c r="B17" i="106"/>
  <c r="C12" i="142" s="1"/>
  <c r="D16" i="106"/>
  <c r="E18" i="109" s="1"/>
  <c r="B16" i="106"/>
  <c r="C11" i="142" s="1"/>
  <c r="D15" i="106"/>
  <c r="D10" i="142" s="1"/>
  <c r="B15" i="106"/>
  <c r="C10" i="142" s="1"/>
  <c r="D14" i="106"/>
  <c r="D9" i="142" s="1"/>
  <c r="B14" i="106"/>
  <c r="C9" i="142" s="1"/>
  <c r="C133" i="105"/>
  <c r="D59" i="106" l="1"/>
  <c r="E279" i="139"/>
  <c r="F192" i="139"/>
  <c r="E278" i="139"/>
  <c r="E246" i="139"/>
  <c r="F271" i="139"/>
  <c r="C103" i="142"/>
  <c r="D95" i="106"/>
  <c r="D48" i="142" s="1"/>
  <c r="D91" i="106"/>
  <c r="J19" i="106"/>
  <c r="C52" i="109"/>
  <c r="C65" i="109"/>
  <c r="D196" i="106"/>
  <c r="C97" i="109"/>
  <c r="C104" i="109" s="1"/>
  <c r="E32" i="109"/>
  <c r="G32" i="109" s="1"/>
  <c r="G40" i="109" s="1"/>
  <c r="F39" i="109" s="1"/>
  <c r="K15" i="106" s="1"/>
  <c r="C117" i="109"/>
  <c r="D144" i="139"/>
  <c r="F208" i="139"/>
  <c r="E160" i="139"/>
  <c r="E134" i="139"/>
  <c r="E117" i="106"/>
  <c r="C92" i="139"/>
  <c r="C97" i="139"/>
  <c r="C105" i="139"/>
  <c r="C119" i="139" s="1"/>
  <c r="F147" i="139"/>
  <c r="E107" i="106"/>
  <c r="F160" i="139"/>
  <c r="E168" i="139" s="1"/>
  <c r="C75" i="139"/>
  <c r="F164" i="139"/>
  <c r="C85" i="139"/>
  <c r="C99" i="139" s="1"/>
  <c r="C107" i="139" s="1"/>
  <c r="D114" i="139" s="1"/>
  <c r="F134" i="139"/>
  <c r="G134" i="139" s="1"/>
  <c r="G144" i="139" s="1"/>
  <c r="G147" i="139" s="1"/>
  <c r="G148" i="139" s="1"/>
  <c r="C69" i="139"/>
  <c r="D11" i="142"/>
  <c r="E97" i="109"/>
  <c r="G97" i="109" s="1"/>
  <c r="F104" i="109" s="1"/>
  <c r="G105" i="109" s="1"/>
  <c r="C39" i="109"/>
  <c r="D191" i="106"/>
  <c r="E45" i="109"/>
  <c r="G45" i="109" s="1"/>
  <c r="G53" i="109" s="1"/>
  <c r="E43" i="106" s="1"/>
  <c r="D33" i="142"/>
  <c r="D64" i="142"/>
  <c r="D54" i="106"/>
  <c r="E164" i="106"/>
  <c r="G118" i="109"/>
  <c r="K27" i="106" s="1"/>
  <c r="E44" i="106"/>
  <c r="F65" i="109"/>
  <c r="D145" i="106"/>
  <c r="C23" i="123" s="1"/>
  <c r="D182" i="106"/>
  <c r="C71" i="109"/>
  <c r="D79" i="109" s="1"/>
  <c r="J39" i="106"/>
  <c r="C45" i="109"/>
  <c r="D53" i="109" s="1"/>
  <c r="D53" i="142"/>
  <c r="D105" i="109"/>
  <c r="C12" i="109"/>
  <c r="C78" i="109"/>
  <c r="D36" i="142"/>
  <c r="D65" i="142"/>
  <c r="D44" i="142"/>
  <c r="G18" i="109"/>
  <c r="G27" i="109" s="1"/>
  <c r="C76" i="142"/>
  <c r="C110" i="109"/>
  <c r="D118" i="109" s="1"/>
  <c r="C33" i="142"/>
  <c r="D69" i="142"/>
  <c r="E84" i="109"/>
  <c r="G84" i="109" s="1"/>
  <c r="F91" i="109" s="1"/>
  <c r="D39" i="142"/>
  <c r="D127" i="106"/>
  <c r="D88" i="142"/>
  <c r="C32" i="109"/>
  <c r="D40" i="109" s="1"/>
  <c r="D99" i="142"/>
  <c r="E19" i="106"/>
  <c r="G13" i="109"/>
  <c r="E14" i="106" s="1"/>
  <c r="D205" i="106"/>
  <c r="J31" i="106"/>
  <c r="D157" i="106"/>
  <c r="D37" i="106"/>
  <c r="D30" i="106"/>
  <c r="D85" i="106"/>
  <c r="D43" i="142" s="1"/>
  <c r="D49" i="142"/>
  <c r="D47" i="106"/>
  <c r="F133" i="105"/>
  <c r="E17" i="106" l="1"/>
  <c r="K22" i="106"/>
  <c r="F52" i="109"/>
  <c r="E162" i="106" s="1"/>
  <c r="G272" i="139"/>
  <c r="E108" i="106" s="1"/>
  <c r="E170" i="106"/>
  <c r="F170" i="106" s="1"/>
  <c r="E172" i="106"/>
  <c r="F172" i="106" s="1"/>
  <c r="F117" i="106"/>
  <c r="E280" i="139"/>
  <c r="G160" i="139"/>
  <c r="E169" i="139"/>
  <c r="G171" i="139"/>
  <c r="H279" i="139" s="1"/>
  <c r="F176" i="139"/>
  <c r="E105" i="106"/>
  <c r="E167" i="139"/>
  <c r="G170" i="139" s="1"/>
  <c r="H278" i="139" s="1"/>
  <c r="C91" i="139"/>
  <c r="C121" i="139"/>
  <c r="K21" i="106"/>
  <c r="G92" i="109"/>
  <c r="K79" i="106" s="1"/>
  <c r="F26" i="109"/>
  <c r="E151" i="106" s="1"/>
  <c r="E16" i="106"/>
  <c r="D4" i="138"/>
  <c r="G172" i="139" l="1"/>
  <c r="H280" i="139" s="1"/>
  <c r="G176" i="139"/>
  <c r="G177" i="139" s="1"/>
  <c r="P22" i="114"/>
  <c r="L22" i="114"/>
  <c r="H22" i="114"/>
  <c r="D22" i="114"/>
  <c r="I29" i="112"/>
  <c r="J28" i="112"/>
  <c r="K28" i="112"/>
  <c r="I27" i="112"/>
  <c r="E24" i="112"/>
  <c r="C23" i="112"/>
  <c r="G23" i="112"/>
  <c r="I21" i="112"/>
  <c r="I20" i="112"/>
  <c r="G21" i="112"/>
  <c r="G20" i="112"/>
  <c r="G19" i="112"/>
  <c r="I11" i="112"/>
  <c r="N144" i="139"/>
  <c r="G280" i="139" s="1"/>
  <c r="N143" i="139"/>
  <c r="G279" i="139" s="1"/>
  <c r="N142" i="139"/>
  <c r="N132" i="139"/>
  <c r="G248" i="139" s="1"/>
  <c r="L132" i="139"/>
  <c r="F248" i="139" s="1"/>
  <c r="N131" i="139"/>
  <c r="G247" i="139" s="1"/>
  <c r="L131" i="139"/>
  <c r="F247" i="139" s="1"/>
  <c r="N130" i="139"/>
  <c r="G246" i="139" s="1"/>
  <c r="L130" i="139"/>
  <c r="F246" i="139" s="1"/>
  <c r="N124" i="139"/>
  <c r="G120" i="139" s="1"/>
  <c r="L124" i="139"/>
  <c r="F120" i="139" s="1"/>
  <c r="N123" i="139"/>
  <c r="G98" i="139" s="1"/>
  <c r="L123" i="139"/>
  <c r="F98" i="139" s="1"/>
  <c r="N122" i="139"/>
  <c r="G76" i="139" s="1"/>
  <c r="L122" i="139"/>
  <c r="F76" i="139" s="1"/>
  <c r="J119" i="139"/>
  <c r="N107" i="139"/>
  <c r="M107" i="139"/>
  <c r="O107" i="139" s="1"/>
  <c r="N97" i="139"/>
  <c r="M97" i="139"/>
  <c r="N94" i="139"/>
  <c r="M94" i="139"/>
  <c r="O94" i="139" s="1"/>
  <c r="N91" i="139"/>
  <c r="M91" i="139"/>
  <c r="O85" i="139"/>
  <c r="M85" i="139"/>
  <c r="O80" i="139"/>
  <c r="O82" i="139" s="1"/>
  <c r="M80" i="139"/>
  <c r="M82" i="139" s="1"/>
  <c r="M79" i="139"/>
  <c r="O78" i="139"/>
  <c r="O77" i="139"/>
  <c r="O79" i="139" s="1"/>
  <c r="O69" i="139"/>
  <c r="N66" i="139"/>
  <c r="M66" i="139"/>
  <c r="O66" i="139" s="1"/>
  <c r="N62" i="139"/>
  <c r="M62" i="139"/>
  <c r="O61" i="139"/>
  <c r="O60" i="139"/>
  <c r="O57" i="139"/>
  <c r="N53" i="139"/>
  <c r="M53" i="139"/>
  <c r="N51" i="139"/>
  <c r="E85" i="139" s="1"/>
  <c r="M51" i="139"/>
  <c r="N49" i="139"/>
  <c r="E63" i="139" s="1"/>
  <c r="M49" i="139"/>
  <c r="M44" i="139"/>
  <c r="O43" i="139"/>
  <c r="O44" i="139" s="1"/>
  <c r="M42" i="139"/>
  <c r="E42" i="139" s="1"/>
  <c r="G42" i="139" s="1"/>
  <c r="F50" i="139" s="1"/>
  <c r="O41" i="139"/>
  <c r="O42" i="139" s="1"/>
  <c r="M40" i="139"/>
  <c r="E41" i="139" s="1"/>
  <c r="O39" i="139"/>
  <c r="O40" i="139" s="1"/>
  <c r="G278" i="139" l="1"/>
  <c r="G231" i="139"/>
  <c r="E235" i="139" s="1"/>
  <c r="F239" i="139" s="1"/>
  <c r="G254" i="139"/>
  <c r="G255" i="139"/>
  <c r="E113" i="106" s="1"/>
  <c r="F113" i="106" s="1"/>
  <c r="G256" i="139"/>
  <c r="E114" i="106" s="1"/>
  <c r="F114" i="106" s="1"/>
  <c r="O97" i="139"/>
  <c r="O91" i="139"/>
  <c r="N98" i="139"/>
  <c r="O49" i="139"/>
  <c r="E62" i="139"/>
  <c r="O51" i="139"/>
  <c r="E84" i="139"/>
  <c r="M54" i="139"/>
  <c r="E106" i="139"/>
  <c r="F91" i="139"/>
  <c r="M98" i="139"/>
  <c r="O98" i="139" s="1"/>
  <c r="G41" i="139"/>
  <c r="F47" i="139" s="1"/>
  <c r="E43" i="139"/>
  <c r="G43" i="139" s="1"/>
  <c r="F53" i="139" s="1"/>
  <c r="G54" i="139" s="1"/>
  <c r="M45" i="139"/>
  <c r="N54" i="139"/>
  <c r="E107" i="139"/>
  <c r="O62" i="139"/>
  <c r="G51" i="139"/>
  <c r="M86" i="139"/>
  <c r="O45" i="139"/>
  <c r="O86" i="139"/>
  <c r="O53" i="139"/>
  <c r="E112" i="106" l="1"/>
  <c r="F112" i="106" s="1"/>
  <c r="F253" i="139"/>
  <c r="E171" i="106" s="1"/>
  <c r="F171" i="106" s="1"/>
  <c r="G240" i="139"/>
  <c r="E106" i="106" s="1"/>
  <c r="E175" i="106"/>
  <c r="F175" i="106" s="1"/>
  <c r="E44" i="139"/>
  <c r="E108" i="139"/>
  <c r="G108" i="139" s="1"/>
  <c r="E120" i="139"/>
  <c r="E102" i="106"/>
  <c r="G48" i="139"/>
  <c r="E99" i="139"/>
  <c r="O54" i="139"/>
  <c r="E86" i="139"/>
  <c r="G86" i="139" s="1"/>
  <c r="F92" i="139" s="1"/>
  <c r="E100" i="106" s="1"/>
  <c r="E76" i="139"/>
  <c r="E64" i="139"/>
  <c r="G64" i="139" s="1"/>
  <c r="F69" i="139" s="1"/>
  <c r="K71" i="106"/>
  <c r="E133" i="105"/>
  <c r="E134" i="105" s="1"/>
  <c r="D211" i="106"/>
  <c r="D208" i="106"/>
  <c r="D199" i="106"/>
  <c r="D185" i="106"/>
  <c r="D166" i="106"/>
  <c r="J72" i="106"/>
  <c r="F77" i="106"/>
  <c r="N3" i="135"/>
  <c r="N4" i="135"/>
  <c r="N5" i="135"/>
  <c r="N6" i="135"/>
  <c r="N7" i="135"/>
  <c r="N2" i="135"/>
  <c r="H12" i="136"/>
  <c r="F184" i="106"/>
  <c r="F185" i="106" s="1"/>
  <c r="H13" i="117"/>
  <c r="H12" i="117"/>
  <c r="H11" i="117"/>
  <c r="H10" i="117"/>
  <c r="H9" i="117"/>
  <c r="H8" i="117"/>
  <c r="H7" i="117"/>
  <c r="F203" i="106"/>
  <c r="F202" i="106"/>
  <c r="J38" i="115"/>
  <c r="J36" i="115"/>
  <c r="J37" i="115"/>
  <c r="J35" i="115"/>
  <c r="F190" i="106"/>
  <c r="E104" i="106" l="1"/>
  <c r="G70" i="139"/>
  <c r="G77" i="139" s="1"/>
  <c r="E77" i="139"/>
  <c r="E78" i="139"/>
  <c r="E98" i="139"/>
  <c r="E100" i="139" s="1"/>
  <c r="G93" i="139"/>
  <c r="G99" i="139" s="1"/>
  <c r="G114" i="139"/>
  <c r="F189" i="106"/>
  <c r="H14" i="117"/>
  <c r="F113" i="139" l="1"/>
  <c r="E174" i="106" s="1"/>
  <c r="F174" i="106" s="1"/>
  <c r="E121" i="139"/>
  <c r="E122" i="139" s="1"/>
  <c r="F104" i="106"/>
  <c r="F105" i="106"/>
  <c r="F106" i="106"/>
  <c r="F107" i="106"/>
  <c r="F108" i="106"/>
  <c r="A3" i="142"/>
  <c r="A2" i="142"/>
  <c r="D7" i="137" l="1"/>
  <c r="E5" i="137"/>
  <c r="D53" i="105"/>
  <c r="C79" i="140"/>
  <c r="B99" i="140"/>
  <c r="B96" i="140"/>
  <c r="B95" i="140"/>
  <c r="B91" i="140"/>
  <c r="B90" i="140"/>
  <c r="B89" i="140"/>
  <c r="B88" i="140"/>
  <c r="B87" i="140"/>
  <c r="B86" i="140"/>
  <c r="B85" i="140"/>
  <c r="B84" i="140"/>
  <c r="B83" i="140"/>
  <c r="B82" i="140"/>
  <c r="B81" i="140"/>
  <c r="B78" i="140"/>
  <c r="B77" i="140"/>
  <c r="B74" i="140"/>
  <c r="B73" i="140"/>
  <c r="B72" i="140"/>
  <c r="B71" i="140"/>
  <c r="B68" i="140"/>
  <c r="B67" i="140"/>
  <c r="B66" i="140"/>
  <c r="B65" i="140"/>
  <c r="B64" i="140"/>
  <c r="B63" i="140"/>
  <c r="B62" i="140"/>
  <c r="B59" i="140"/>
  <c r="B56" i="140"/>
  <c r="B55" i="140"/>
  <c r="B54" i="140"/>
  <c r="B51" i="140"/>
  <c r="B50" i="140"/>
  <c r="B49" i="140"/>
  <c r="B46" i="140"/>
  <c r="B45" i="140"/>
  <c r="B44" i="140"/>
  <c r="B43" i="140"/>
  <c r="B42" i="140"/>
  <c r="B41" i="140"/>
  <c r="B40" i="140"/>
  <c r="B39" i="140"/>
  <c r="B36" i="140"/>
  <c r="B35" i="140"/>
  <c r="B34" i="140"/>
  <c r="B33" i="140"/>
  <c r="B32" i="140"/>
  <c r="B29" i="140"/>
  <c r="B28" i="140"/>
  <c r="B27" i="140"/>
  <c r="B26" i="140"/>
  <c r="B25" i="140"/>
  <c r="B24" i="140"/>
  <c r="B21" i="140"/>
  <c r="B20" i="140"/>
  <c r="B19" i="140"/>
  <c r="B18" i="140"/>
  <c r="B17" i="140"/>
  <c r="B16" i="140"/>
  <c r="B15" i="140"/>
  <c r="B14" i="140"/>
  <c r="G8" i="117"/>
  <c r="G9" i="117"/>
  <c r="G10" i="117"/>
  <c r="G11" i="117"/>
  <c r="G12" i="117"/>
  <c r="G13" i="117"/>
  <c r="G7" i="117"/>
  <c r="F210" i="106"/>
  <c r="F211" i="106" s="1"/>
  <c r="F181" i="106"/>
  <c r="F204" i="106"/>
  <c r="F201" i="106"/>
  <c r="F207" i="106"/>
  <c r="F208" i="106" s="1"/>
  <c r="F195" i="106"/>
  <c r="F188" i="106"/>
  <c r="F179" i="106"/>
  <c r="F178" i="106"/>
  <c r="F169" i="106"/>
  <c r="F168" i="106"/>
  <c r="F160" i="106"/>
  <c r="F161" i="106"/>
  <c r="F162" i="106"/>
  <c r="F163" i="106"/>
  <c r="F164" i="106"/>
  <c r="F165" i="106"/>
  <c r="F151" i="106"/>
  <c r="F152" i="106"/>
  <c r="F153" i="106"/>
  <c r="F154" i="106"/>
  <c r="F155" i="106"/>
  <c r="F198" i="106"/>
  <c r="F199" i="106" s="1"/>
  <c r="F147" i="106"/>
  <c r="F148" i="106" s="1"/>
  <c r="F144" i="106"/>
  <c r="F143" i="106"/>
  <c r="J77" i="106"/>
  <c r="C6" i="118"/>
  <c r="C7" i="118"/>
  <c r="C8" i="118"/>
  <c r="C5" i="118"/>
  <c r="A6" i="118"/>
  <c r="A7" i="118"/>
  <c r="A8" i="118"/>
  <c r="A5" i="118"/>
  <c r="F109" i="106"/>
  <c r="F110" i="106"/>
  <c r="F111" i="106"/>
  <c r="F125" i="106"/>
  <c r="F126" i="106"/>
  <c r="F124" i="106"/>
  <c r="F103" i="106"/>
  <c r="F98" i="106"/>
  <c r="F99" i="106"/>
  <c r="F100" i="106"/>
  <c r="F101" i="106"/>
  <c r="F102" i="106"/>
  <c r="B54" i="113"/>
  <c r="B79" i="113" s="1"/>
  <c r="B53" i="113"/>
  <c r="B78" i="113" s="1"/>
  <c r="B9" i="113"/>
  <c r="B35" i="113" s="1"/>
  <c r="B8" i="113"/>
  <c r="B34" i="113" s="1"/>
  <c r="D90" i="118"/>
  <c r="F36" i="115"/>
  <c r="I22" i="115"/>
  <c r="H22" i="115"/>
  <c r="I21" i="115"/>
  <c r="G21" i="115"/>
  <c r="I20" i="115"/>
  <c r="H20" i="115"/>
  <c r="I19" i="115"/>
  <c r="G19" i="115"/>
  <c r="F33" i="115"/>
  <c r="I14" i="115"/>
  <c r="H14" i="115"/>
  <c r="I13" i="115"/>
  <c r="J13" i="115" s="1"/>
  <c r="G13" i="115"/>
  <c r="I12" i="115"/>
  <c r="J12" i="115" s="1"/>
  <c r="H12" i="115"/>
  <c r="I10" i="115"/>
  <c r="I11" i="115" s="1"/>
  <c r="J11" i="115" s="1"/>
  <c r="G11" i="115"/>
  <c r="H10" i="115"/>
  <c r="G9" i="115"/>
  <c r="E10" i="115"/>
  <c r="C35" i="117"/>
  <c r="G29" i="117"/>
  <c r="C29" i="117"/>
  <c r="G23" i="117"/>
  <c r="C23" i="117"/>
  <c r="G17" i="117"/>
  <c r="C17" i="117"/>
  <c r="A8" i="117"/>
  <c r="A9" i="117"/>
  <c r="A10" i="117"/>
  <c r="A11" i="117"/>
  <c r="A12" i="117"/>
  <c r="A13" i="117"/>
  <c r="A7" i="117"/>
  <c r="F176" i="106" l="1"/>
  <c r="F187" i="106"/>
  <c r="F191" i="106" s="1"/>
  <c r="G14" i="117"/>
  <c r="F159" i="106"/>
  <c r="F166" i="106" s="1"/>
  <c r="F194" i="106"/>
  <c r="F180" i="106"/>
  <c r="F182" i="106" s="1"/>
  <c r="F205" i="106"/>
  <c r="F145" i="106"/>
  <c r="F123" i="106"/>
  <c r="D22" i="106"/>
  <c r="C9" i="118"/>
  <c r="J10" i="115"/>
  <c r="I9" i="115"/>
  <c r="J9" i="115" s="1"/>
  <c r="D56" i="110"/>
  <c r="D55" i="110"/>
  <c r="D47" i="110"/>
  <c r="D57" i="110" l="1"/>
  <c r="D80" i="105" l="1"/>
  <c r="E5" i="138"/>
  <c r="D5" i="138"/>
  <c r="D6" i="138"/>
  <c r="E6" i="138" s="1"/>
  <c r="D7" i="138"/>
  <c r="E7" i="138" s="1"/>
  <c r="D8" i="138"/>
  <c r="E8" i="138" s="1"/>
  <c r="D9" i="138"/>
  <c r="E9" i="138" s="1"/>
  <c r="D10" i="138"/>
  <c r="E10" i="138" s="1"/>
  <c r="D11" i="138"/>
  <c r="E11" i="138" s="1"/>
  <c r="D12" i="138"/>
  <c r="E12" i="138" s="1"/>
  <c r="D13" i="138"/>
  <c r="E13" i="138" s="1"/>
  <c r="D14" i="138"/>
  <c r="E14" i="138" s="1"/>
  <c r="D15" i="138"/>
  <c r="E15" i="138" s="1"/>
  <c r="D82" i="105" s="1"/>
  <c r="E4" i="138"/>
  <c r="C16" i="138"/>
  <c r="A22" i="137"/>
  <c r="D13" i="137"/>
  <c r="H11" i="137"/>
  <c r="H2" i="137"/>
  <c r="H3" i="137" s="1"/>
  <c r="M7" i="135"/>
  <c r="M6" i="135"/>
  <c r="M5" i="135"/>
  <c r="M4" i="135"/>
  <c r="M3" i="135"/>
  <c r="M2" i="135"/>
  <c r="A22" i="135"/>
  <c r="D13" i="135"/>
  <c r="A22" i="136"/>
  <c r="D13" i="136"/>
  <c r="H11" i="136"/>
  <c r="H2" i="136"/>
  <c r="H3" i="136" s="1"/>
  <c r="E16" i="138" l="1"/>
  <c r="D18" i="138" s="1"/>
  <c r="F150" i="106"/>
  <c r="F157" i="106" s="1"/>
  <c r="H4" i="137"/>
  <c r="H5" i="137" s="1"/>
  <c r="H6" i="137" s="1"/>
  <c r="H7" i="137" s="1"/>
  <c r="H8" i="137" s="1"/>
  <c r="H9" i="137" s="1"/>
  <c r="H10" i="137" s="1"/>
  <c r="N8" i="135"/>
  <c r="H4" i="136"/>
  <c r="H5" i="136" s="1"/>
  <c r="H6" i="136" s="1"/>
  <c r="H7" i="136" s="1"/>
  <c r="H8" i="136" s="1"/>
  <c r="H9" i="136" s="1"/>
  <c r="H10" i="136" s="1"/>
  <c r="E104" i="105" l="1"/>
  <c r="H12" i="137"/>
  <c r="B35" i="77" l="1"/>
  <c r="D8" i="6"/>
  <c r="E8" i="6"/>
  <c r="E6" i="6" s="1"/>
  <c r="E62" i="110"/>
  <c r="E61" i="110"/>
  <c r="F53" i="11"/>
  <c r="F52" i="11"/>
  <c r="E53" i="11"/>
  <c r="E52" i="11"/>
  <c r="D53" i="11"/>
  <c r="G53" i="11" s="1"/>
  <c r="D52" i="11"/>
  <c r="G52" i="11" s="1"/>
  <c r="B53" i="11"/>
  <c r="B52" i="11"/>
  <c r="F10" i="11"/>
  <c r="F11" i="11"/>
  <c r="H53" i="11" l="1"/>
  <c r="H52" i="11"/>
  <c r="D55" i="113"/>
  <c r="F21" i="125" l="1"/>
  <c r="L76" i="106" l="1"/>
  <c r="C17" i="25"/>
  <c r="B13" i="78"/>
  <c r="F8" i="114"/>
  <c r="F7" i="114"/>
  <c r="F10" i="113"/>
  <c r="F10" i="110" l="1"/>
  <c r="E15" i="122" l="1"/>
  <c r="D143" i="113" l="1"/>
  <c r="E9" i="3" l="1"/>
  <c r="F9" i="3" s="1"/>
  <c r="D58" i="118" l="1"/>
  <c r="F90" i="118" l="1"/>
  <c r="F71" i="106" l="1"/>
  <c r="F70" i="106"/>
  <c r="F72" i="106" l="1"/>
  <c r="F46" i="106"/>
  <c r="D42" i="114" l="1"/>
  <c r="P42" i="114"/>
  <c r="L42" i="114"/>
  <c r="H42" i="114"/>
  <c r="F80" i="113" l="1"/>
  <c r="B19" i="112"/>
  <c r="B23" i="112" s="1"/>
  <c r="A19" i="112"/>
  <c r="A23" i="112" s="1"/>
  <c r="C25" i="77" l="1"/>
  <c r="L13" i="11" l="1"/>
  <c r="K13" i="11"/>
  <c r="C28" i="6"/>
  <c r="B31" i="121"/>
  <c r="A30" i="119"/>
  <c r="A17" i="119"/>
  <c r="A4" i="119"/>
  <c r="B121" i="118"/>
  <c r="B94" i="118"/>
  <c r="B16" i="118"/>
  <c r="B49" i="117"/>
  <c r="A48" i="117"/>
  <c r="A47" i="117"/>
  <c r="A46" i="117"/>
  <c r="A45" i="117"/>
  <c r="A44" i="117"/>
  <c r="A43" i="117"/>
  <c r="A42" i="117"/>
  <c r="B14" i="116"/>
  <c r="F55" i="113"/>
  <c r="D10" i="113"/>
  <c r="B66" i="110"/>
  <c r="B65" i="110"/>
  <c r="F28" i="110"/>
  <c r="F16" i="106"/>
  <c r="F18" i="11" s="1"/>
  <c r="D148" i="106"/>
  <c r="D130" i="106"/>
  <c r="F127" i="106"/>
  <c r="F94" i="106"/>
  <c r="F93" i="106"/>
  <c r="F89" i="106"/>
  <c r="F88" i="106"/>
  <c r="F87" i="106"/>
  <c r="F84" i="106"/>
  <c r="F83" i="106"/>
  <c r="F82" i="106"/>
  <c r="F81" i="106"/>
  <c r="F80" i="106"/>
  <c r="F79" i="106"/>
  <c r="F78" i="106"/>
  <c r="J80" i="106"/>
  <c r="F76" i="106"/>
  <c r="F74" i="106"/>
  <c r="L71" i="106"/>
  <c r="F68" i="106"/>
  <c r="L70" i="106"/>
  <c r="F64" i="106"/>
  <c r="L66" i="106"/>
  <c r="D62" i="106"/>
  <c r="J64" i="106"/>
  <c r="F61" i="106"/>
  <c r="L63" i="106"/>
  <c r="D132" i="106"/>
  <c r="C22" i="123" s="1"/>
  <c r="E22" i="123" s="1"/>
  <c r="C29" i="123" s="1"/>
  <c r="J61" i="106"/>
  <c r="F58" i="106"/>
  <c r="F57" i="106"/>
  <c r="F56" i="106"/>
  <c r="F59" i="106" s="1"/>
  <c r="L58" i="106"/>
  <c r="L56" i="106"/>
  <c r="F53" i="106"/>
  <c r="F52" i="106"/>
  <c r="L54" i="106"/>
  <c r="F51" i="106"/>
  <c r="F54" i="106" s="1"/>
  <c r="L52" i="106"/>
  <c r="F49" i="106"/>
  <c r="L48" i="106"/>
  <c r="F44" i="106"/>
  <c r="L46" i="106"/>
  <c r="F42" i="106"/>
  <c r="L44" i="106"/>
  <c r="F41" i="106"/>
  <c r="F40" i="106"/>
  <c r="F39" i="106"/>
  <c r="L41" i="106"/>
  <c r="D133" i="105" s="1"/>
  <c r="F36" i="106"/>
  <c r="L38" i="106"/>
  <c r="F35" i="106"/>
  <c r="L37" i="106"/>
  <c r="F34" i="106"/>
  <c r="L36" i="106"/>
  <c r="F33" i="106"/>
  <c r="F32" i="106"/>
  <c r="L33" i="106"/>
  <c r="F29" i="106"/>
  <c r="F28" i="106"/>
  <c r="F27" i="106"/>
  <c r="L26" i="106"/>
  <c r="F26" i="106"/>
  <c r="L25" i="106"/>
  <c r="F25" i="106"/>
  <c r="L24" i="106"/>
  <c r="F24" i="106"/>
  <c r="L23" i="106"/>
  <c r="F21" i="106"/>
  <c r="F15" i="11" s="1"/>
  <c r="F20" i="106"/>
  <c r="F19" i="106"/>
  <c r="L18" i="106"/>
  <c r="F18" i="106"/>
  <c r="F14" i="11" s="1"/>
  <c r="L17" i="106"/>
  <c r="F17" i="106"/>
  <c r="L16" i="106"/>
  <c r="F15" i="106"/>
  <c r="L14" i="106"/>
  <c r="F135" i="105"/>
  <c r="D134" i="105"/>
  <c r="D213" i="106" l="1"/>
  <c r="D74" i="142"/>
  <c r="C32" i="123"/>
  <c r="E32" i="123" s="1"/>
  <c r="E29" i="123"/>
  <c r="D3" i="142" s="1"/>
  <c r="F85" i="106"/>
  <c r="L72" i="106"/>
  <c r="F12" i="11"/>
  <c r="C135" i="105"/>
  <c r="F95" i="106"/>
  <c r="L42" i="106"/>
  <c r="H21" i="121"/>
  <c r="F37" i="106"/>
  <c r="L64" i="106"/>
  <c r="C35" i="3"/>
  <c r="F62" i="106"/>
  <c r="L35" i="106"/>
  <c r="L39" i="106" s="1"/>
  <c r="C49" i="117"/>
  <c r="F30" i="106"/>
  <c r="F43" i="106"/>
  <c r="L22" i="106"/>
  <c r="F14" i="106"/>
  <c r="F9" i="11" s="1"/>
  <c r="L21" i="106"/>
  <c r="L27" i="106"/>
  <c r="M10" i="74"/>
  <c r="C21" i="123" l="1"/>
  <c r="J83" i="106"/>
  <c r="E98" i="142"/>
  <c r="N98" i="142" s="1"/>
  <c r="O98" i="142" s="1"/>
  <c r="E103" i="142"/>
  <c r="N103" i="142" s="1"/>
  <c r="O103" i="142" s="1"/>
  <c r="E106" i="142"/>
  <c r="N106" i="142" s="1"/>
  <c r="O106" i="142" s="1"/>
  <c r="E100" i="142"/>
  <c r="N100" i="142" s="1"/>
  <c r="O100" i="142" s="1"/>
  <c r="E105" i="142"/>
  <c r="N105" i="142" s="1"/>
  <c r="O105" i="142" s="1"/>
  <c r="E91" i="142"/>
  <c r="N91" i="142" s="1"/>
  <c r="E93" i="142"/>
  <c r="N93" i="142" s="1"/>
  <c r="O93" i="142" s="1"/>
  <c r="E102" i="142"/>
  <c r="N102" i="142" s="1"/>
  <c r="O102" i="142" s="1"/>
  <c r="E96" i="142"/>
  <c r="N96" i="142" s="1"/>
  <c r="O96" i="142" s="1"/>
  <c r="E101" i="142"/>
  <c r="N101" i="142" s="1"/>
  <c r="O101" i="142" s="1"/>
  <c r="E97" i="142"/>
  <c r="N97" i="142" s="1"/>
  <c r="O97" i="142" s="1"/>
  <c r="E99" i="142"/>
  <c r="N99" i="142" s="1"/>
  <c r="O99" i="142" s="1"/>
  <c r="E95" i="142"/>
  <c r="N95" i="142" s="1"/>
  <c r="O95" i="142" s="1"/>
  <c r="E94" i="142"/>
  <c r="N94" i="142" s="1"/>
  <c r="O94" i="142" s="1"/>
  <c r="E92" i="142"/>
  <c r="N92" i="142" s="1"/>
  <c r="O92" i="142" s="1"/>
  <c r="E104" i="142"/>
  <c r="N104" i="142" s="1"/>
  <c r="O104" i="142" s="1"/>
  <c r="L31" i="106"/>
  <c r="E137" i="105"/>
  <c r="J84" i="106"/>
  <c r="D135" i="105"/>
  <c r="E135" i="105"/>
  <c r="F22" i="106"/>
  <c r="I9" i="1" s="1"/>
  <c r="F97" i="106"/>
  <c r="M13" i="11"/>
  <c r="I28" i="11"/>
  <c r="I30" i="11"/>
  <c r="I31" i="11"/>
  <c r="I32" i="11"/>
  <c r="I33" i="11"/>
  <c r="I34" i="11"/>
  <c r="I41" i="11"/>
  <c r="I42" i="11"/>
  <c r="I43" i="11"/>
  <c r="I44" i="11"/>
  <c r="I45" i="11"/>
  <c r="I50" i="11"/>
  <c r="I52" i="11"/>
  <c r="I53" i="11"/>
  <c r="I54" i="11"/>
  <c r="I55" i="11"/>
  <c r="I56" i="11"/>
  <c r="I62" i="11"/>
  <c r="I69" i="11"/>
  <c r="J69" i="11" s="1"/>
  <c r="I79" i="11"/>
  <c r="J79" i="11" s="1"/>
  <c r="I82" i="11"/>
  <c r="I89" i="11"/>
  <c r="J89" i="11" s="1"/>
  <c r="C8" i="86"/>
  <c r="C9" i="86"/>
  <c r="D22" i="90"/>
  <c r="C41" i="17"/>
  <c r="C44" i="17" s="1"/>
  <c r="C25" i="63" s="1"/>
  <c r="H20" i="21"/>
  <c r="C11" i="17"/>
  <c r="E11" i="17" s="1"/>
  <c r="D10" i="17"/>
  <c r="D9" i="17"/>
  <c r="C37" i="89"/>
  <c r="D29" i="89"/>
  <c r="D28" i="89"/>
  <c r="D27" i="89"/>
  <c r="D26" i="89"/>
  <c r="F41" i="17"/>
  <c r="H41" i="17" s="1"/>
  <c r="D8" i="86"/>
  <c r="F22" i="90"/>
  <c r="F24" i="90" s="1"/>
  <c r="E9" i="74"/>
  <c r="E19" i="74" s="1"/>
  <c r="E21" i="74" s="1"/>
  <c r="G9" i="17"/>
  <c r="G10" i="17"/>
  <c r="F11" i="17"/>
  <c r="H11" i="17" s="1"/>
  <c r="I39" i="21"/>
  <c r="G7" i="82"/>
  <c r="H7" i="82" s="1"/>
  <c r="H16" i="82"/>
  <c r="H19" i="82"/>
  <c r="E15" i="25"/>
  <c r="E17" i="25" s="1"/>
  <c r="E22" i="25" s="1"/>
  <c r="D15" i="25"/>
  <c r="D17" i="25" s="1"/>
  <c r="D22" i="25" s="1"/>
  <c r="D51" i="25" s="1"/>
  <c r="G51" i="26"/>
  <c r="J39" i="21"/>
  <c r="G19" i="74"/>
  <c r="H22" i="90"/>
  <c r="H24" i="90" s="1"/>
  <c r="I35" i="25"/>
  <c r="I37" i="25" s="1"/>
  <c r="I42" i="25" s="1"/>
  <c r="G35" i="25"/>
  <c r="G37" i="25" s="1"/>
  <c r="G42" i="25" s="1"/>
  <c r="F35" i="25"/>
  <c r="F37" i="25" s="1"/>
  <c r="F42" i="25" s="1"/>
  <c r="C47" i="25"/>
  <c r="H15" i="25"/>
  <c r="H17" i="25" s="1"/>
  <c r="H22" i="25" s="1"/>
  <c r="K11" i="17"/>
  <c r="H12" i="90"/>
  <c r="M13" i="90" s="1"/>
  <c r="G12" i="90"/>
  <c r="C40" i="3"/>
  <c r="E19" i="92"/>
  <c r="E6" i="92"/>
  <c r="D27" i="92"/>
  <c r="D24" i="92"/>
  <c r="D13" i="92"/>
  <c r="D10" i="92"/>
  <c r="H6" i="80"/>
  <c r="G6" i="80"/>
  <c r="E21" i="80" s="1"/>
  <c r="G14" i="80"/>
  <c r="G17" i="80" s="1"/>
  <c r="B43" i="77"/>
  <c r="I4" i="77"/>
  <c r="E43" i="26"/>
  <c r="E39" i="26"/>
  <c r="E22" i="26"/>
  <c r="E7" i="26"/>
  <c r="L8" i="26" s="1"/>
  <c r="L24" i="26" s="1"/>
  <c r="E4" i="75"/>
  <c r="J5" i="75" s="1"/>
  <c r="K5" i="95"/>
  <c r="L16" i="95"/>
  <c r="K16" i="95"/>
  <c r="M39" i="21"/>
  <c r="M41" i="21"/>
  <c r="M29" i="21"/>
  <c r="J29" i="21"/>
  <c r="M20" i="21"/>
  <c r="M22" i="21" s="1"/>
  <c r="M9" i="21"/>
  <c r="Q10" i="21" s="1"/>
  <c r="Q31" i="21" s="1"/>
  <c r="J9" i="21"/>
  <c r="G7" i="74"/>
  <c r="H7" i="74" s="1"/>
  <c r="M4" i="74" s="1"/>
  <c r="H19" i="74"/>
  <c r="H21" i="74" s="1"/>
  <c r="I38" i="17"/>
  <c r="J44" i="17"/>
  <c r="K43" i="17"/>
  <c r="K42" i="17"/>
  <c r="C26" i="17"/>
  <c r="I6" i="17"/>
  <c r="P4" i="17" s="1"/>
  <c r="K18" i="17"/>
  <c r="K17" i="17"/>
  <c r="K16" i="17"/>
  <c r="K15" i="17"/>
  <c r="K14" i="17"/>
  <c r="K13" i="17"/>
  <c r="K12" i="17"/>
  <c r="F6" i="11"/>
  <c r="I4" i="1"/>
  <c r="I21" i="1"/>
  <c r="C6" i="66"/>
  <c r="E30" i="17"/>
  <c r="E33" i="17" s="1"/>
  <c r="F33" i="17" s="1"/>
  <c r="E29" i="17"/>
  <c r="H16" i="17"/>
  <c r="H17" i="17"/>
  <c r="H18" i="17"/>
  <c r="E16" i="17"/>
  <c r="E17" i="17"/>
  <c r="J16" i="95"/>
  <c r="I16" i="95"/>
  <c r="G16" i="95"/>
  <c r="H16" i="95"/>
  <c r="E32" i="17"/>
  <c r="E31" i="17"/>
  <c r="L17" i="93"/>
  <c r="L18" i="93"/>
  <c r="L19" i="93"/>
  <c r="L20" i="93"/>
  <c r="L41" i="93"/>
  <c r="L40" i="93"/>
  <c r="L39" i="93"/>
  <c r="L38" i="93"/>
  <c r="L37" i="93"/>
  <c r="L36" i="93"/>
  <c r="L35" i="93"/>
  <c r="L34" i="93"/>
  <c r="L33" i="93"/>
  <c r="L32" i="93"/>
  <c r="L16" i="93"/>
  <c r="L15" i="93"/>
  <c r="L14" i="93"/>
  <c r="L13" i="93"/>
  <c r="L12" i="93"/>
  <c r="L11" i="93"/>
  <c r="L10" i="93"/>
  <c r="L9" i="93"/>
  <c r="L8" i="93"/>
  <c r="L21" i="93" s="1"/>
  <c r="L43" i="93"/>
  <c r="K42" i="93"/>
  <c r="K44" i="93" s="1"/>
  <c r="J42" i="93"/>
  <c r="J44" i="93" s="1"/>
  <c r="I42" i="93"/>
  <c r="I44" i="93" s="1"/>
  <c r="H42" i="93"/>
  <c r="H44" i="93" s="1"/>
  <c r="G42" i="93"/>
  <c r="G44" i="93" s="1"/>
  <c r="F42" i="93"/>
  <c r="F44" i="93"/>
  <c r="E42" i="93"/>
  <c r="E44" i="93" s="1"/>
  <c r="D42" i="93"/>
  <c r="D44" i="93" s="1"/>
  <c r="C42" i="93"/>
  <c r="C44" i="93" s="1"/>
  <c r="B42" i="93"/>
  <c r="B44" i="93" s="1"/>
  <c r="L30" i="93"/>
  <c r="L6" i="93"/>
  <c r="L22" i="93"/>
  <c r="L23" i="93" s="1"/>
  <c r="K21" i="93"/>
  <c r="K23" i="93" s="1"/>
  <c r="J21" i="93"/>
  <c r="J23" i="93"/>
  <c r="I21" i="93"/>
  <c r="I23" i="93" s="1"/>
  <c r="H21" i="93"/>
  <c r="H23" i="93"/>
  <c r="G21" i="93"/>
  <c r="G23" i="93" s="1"/>
  <c r="F21" i="93"/>
  <c r="F23" i="93"/>
  <c r="E21" i="93"/>
  <c r="E23" i="93" s="1"/>
  <c r="D21" i="93"/>
  <c r="D23" i="93"/>
  <c r="C21" i="93"/>
  <c r="C23" i="93" s="1"/>
  <c r="B21" i="93"/>
  <c r="B23" i="93"/>
  <c r="L42" i="93"/>
  <c r="L44" i="93" s="1"/>
  <c r="E27" i="92"/>
  <c r="C27" i="92"/>
  <c r="E24" i="92"/>
  <c r="L68" i="1"/>
  <c r="C24" i="92"/>
  <c r="K68" i="1" s="1"/>
  <c r="C19" i="92"/>
  <c r="E13" i="92"/>
  <c r="C13" i="92"/>
  <c r="E10" i="92"/>
  <c r="L52" i="1"/>
  <c r="C10" i="92"/>
  <c r="K52" i="1" s="1"/>
  <c r="C6" i="92"/>
  <c r="D37" i="90"/>
  <c r="C37" i="90"/>
  <c r="D33" i="90"/>
  <c r="C30" i="90"/>
  <c r="D12" i="90"/>
  <c r="K13" i="90" s="1"/>
  <c r="C12" i="90"/>
  <c r="D29" i="88"/>
  <c r="C29" i="88"/>
  <c r="D14" i="88"/>
  <c r="D16" i="88" s="1"/>
  <c r="C14" i="88"/>
  <c r="D12" i="87"/>
  <c r="C12" i="87"/>
  <c r="L32" i="1"/>
  <c r="D38" i="90"/>
  <c r="C31" i="88"/>
  <c r="C16" i="88"/>
  <c r="D31" i="88"/>
  <c r="D12" i="85"/>
  <c r="D14" i="85"/>
  <c r="C12" i="85"/>
  <c r="C14" i="85" s="1"/>
  <c r="F42" i="83"/>
  <c r="E42" i="83"/>
  <c r="D42" i="83"/>
  <c r="C42" i="83"/>
  <c r="G41" i="83"/>
  <c r="G40" i="83"/>
  <c r="G39" i="83"/>
  <c r="G42" i="83" s="1"/>
  <c r="G38" i="83"/>
  <c r="G37" i="83"/>
  <c r="F34" i="83"/>
  <c r="F43" i="83" s="1"/>
  <c r="E34" i="83"/>
  <c r="D34" i="83"/>
  <c r="C34" i="83"/>
  <c r="G33" i="83"/>
  <c r="G32" i="83"/>
  <c r="G31" i="83"/>
  <c r="G30" i="83"/>
  <c r="G29" i="83"/>
  <c r="F20" i="83"/>
  <c r="F21" i="83" s="1"/>
  <c r="E20" i="83"/>
  <c r="D20" i="83"/>
  <c r="C20" i="83"/>
  <c r="G19" i="83"/>
  <c r="G18" i="83"/>
  <c r="G17" i="83"/>
  <c r="G16" i="83"/>
  <c r="G15" i="83"/>
  <c r="G20" i="83" s="1"/>
  <c r="F12" i="83"/>
  <c r="E12" i="83"/>
  <c r="E21" i="83"/>
  <c r="D12" i="83"/>
  <c r="D21" i="83" s="1"/>
  <c r="C12" i="83"/>
  <c r="C21" i="83" s="1"/>
  <c r="G11" i="83"/>
  <c r="G10" i="83"/>
  <c r="G9" i="83"/>
  <c r="G8" i="83"/>
  <c r="G7" i="83"/>
  <c r="A4" i="83"/>
  <c r="F51" i="82"/>
  <c r="H51" i="82" s="1"/>
  <c r="F50" i="82"/>
  <c r="H50" i="82" s="1"/>
  <c r="F49" i="82"/>
  <c r="H49" i="82" s="1"/>
  <c r="F48" i="82"/>
  <c r="H48" i="82"/>
  <c r="F41" i="82"/>
  <c r="H41" i="82" s="1"/>
  <c r="F40" i="82"/>
  <c r="H40" i="82"/>
  <c r="F39" i="82"/>
  <c r="H39" i="82" s="1"/>
  <c r="F38" i="82"/>
  <c r="H38" i="82" s="1"/>
  <c r="F30" i="82"/>
  <c r="H30" i="82" s="1"/>
  <c r="F29" i="82"/>
  <c r="H29" i="82" s="1"/>
  <c r="F28" i="82"/>
  <c r="H28" i="82" s="1"/>
  <c r="F27" i="82"/>
  <c r="H27" i="82"/>
  <c r="F16" i="82"/>
  <c r="F19" i="82" s="1"/>
  <c r="D16" i="82"/>
  <c r="D7" i="82"/>
  <c r="C7" i="82"/>
  <c r="Y123" i="80"/>
  <c r="X122" i="80"/>
  <c r="U122" i="80"/>
  <c r="U123" i="80" s="1"/>
  <c r="U126" i="80" s="1"/>
  <c r="T122" i="80"/>
  <c r="R122" i="80"/>
  <c r="Q122" i="80"/>
  <c r="P122" i="80"/>
  <c r="P123" i="80" s="1"/>
  <c r="P126" i="80" s="1"/>
  <c r="Z121" i="80"/>
  <c r="S121" i="80"/>
  <c r="Z120" i="80"/>
  <c r="S120" i="80"/>
  <c r="S122" i="80" s="1"/>
  <c r="Z119" i="80"/>
  <c r="S119" i="80"/>
  <c r="Z118" i="80"/>
  <c r="Z122" i="80"/>
  <c r="S118" i="80"/>
  <c r="X117" i="80"/>
  <c r="U117" i="80"/>
  <c r="T117" i="80"/>
  <c r="T123" i="80" s="1"/>
  <c r="R117" i="80"/>
  <c r="Q117" i="80"/>
  <c r="P117" i="80"/>
  <c r="Z116" i="80"/>
  <c r="S116" i="80"/>
  <c r="Z115" i="80"/>
  <c r="S115" i="80"/>
  <c r="Z114" i="80"/>
  <c r="Z117" i="80" s="1"/>
  <c r="S114" i="80"/>
  <c r="X113" i="80"/>
  <c r="U113" i="80"/>
  <c r="T113" i="80"/>
  <c r="R113" i="80"/>
  <c r="Q113" i="80"/>
  <c r="P113" i="80"/>
  <c r="Z112" i="80"/>
  <c r="S112" i="80"/>
  <c r="Z111" i="80"/>
  <c r="S111" i="80"/>
  <c r="Z110" i="80"/>
  <c r="Z113" i="80" s="1"/>
  <c r="S110" i="80"/>
  <c r="S113" i="80" s="1"/>
  <c r="Y106" i="80"/>
  <c r="X106" i="80"/>
  <c r="U106" i="80"/>
  <c r="T106" i="80"/>
  <c r="R106" i="80"/>
  <c r="Q106" i="80"/>
  <c r="P106" i="80"/>
  <c r="Z105" i="80"/>
  <c r="S105" i="80"/>
  <c r="Z104" i="80"/>
  <c r="S104" i="80"/>
  <c r="Z103" i="80"/>
  <c r="S103" i="80"/>
  <c r="Z102" i="80"/>
  <c r="S102" i="80"/>
  <c r="Z101" i="80"/>
  <c r="S101" i="80"/>
  <c r="Z100" i="80"/>
  <c r="S100" i="80"/>
  <c r="Z99" i="80"/>
  <c r="S99" i="80"/>
  <c r="Z98" i="80"/>
  <c r="S98" i="80"/>
  <c r="Z97" i="80"/>
  <c r="S97" i="80"/>
  <c r="Z96" i="80"/>
  <c r="S96" i="80"/>
  <c r="Z95" i="80"/>
  <c r="S95" i="80"/>
  <c r="Z94" i="80"/>
  <c r="S94" i="80"/>
  <c r="Z93" i="80"/>
  <c r="S93" i="80"/>
  <c r="Z92" i="80"/>
  <c r="S92" i="80"/>
  <c r="Z91" i="80"/>
  <c r="S91" i="80"/>
  <c r="Z90" i="80"/>
  <c r="S90" i="80"/>
  <c r="Z89" i="80"/>
  <c r="S89" i="80"/>
  <c r="Z88" i="80"/>
  <c r="S88" i="80"/>
  <c r="Z87" i="80"/>
  <c r="S87" i="80"/>
  <c r="Z86" i="80"/>
  <c r="S86" i="80"/>
  <c r="Z85" i="80"/>
  <c r="S85" i="80"/>
  <c r="Z84" i="80"/>
  <c r="S84" i="80"/>
  <c r="Z83" i="80"/>
  <c r="S83" i="80"/>
  <c r="Z82" i="80"/>
  <c r="S82" i="80"/>
  <c r="Z81" i="80"/>
  <c r="Z106" i="80" s="1"/>
  <c r="Z107" i="80" s="1"/>
  <c r="S81" i="80"/>
  <c r="Z80" i="80"/>
  <c r="S80" i="80"/>
  <c r="Y73" i="80"/>
  <c r="X73" i="80"/>
  <c r="U73" i="80"/>
  <c r="T73" i="80"/>
  <c r="R73" i="80"/>
  <c r="Q73" i="80"/>
  <c r="P73" i="80"/>
  <c r="Z72" i="80"/>
  <c r="S72" i="80"/>
  <c r="Z71" i="80"/>
  <c r="S71" i="80"/>
  <c r="Z70" i="80"/>
  <c r="S70" i="80"/>
  <c r="Z69" i="80"/>
  <c r="S69" i="80"/>
  <c r="Z68" i="80"/>
  <c r="S68" i="80"/>
  <c r="Z67" i="80"/>
  <c r="Z73" i="80" s="1"/>
  <c r="Z74" i="80" s="1"/>
  <c r="S67" i="80"/>
  <c r="Z66" i="80"/>
  <c r="S66" i="80"/>
  <c r="S73" i="80" s="1"/>
  <c r="S74" i="80" s="1"/>
  <c r="Y63" i="80"/>
  <c r="X63" i="80"/>
  <c r="U63" i="80"/>
  <c r="T63" i="80"/>
  <c r="R63" i="80"/>
  <c r="Q63" i="80"/>
  <c r="P63" i="80"/>
  <c r="Z62" i="80"/>
  <c r="S62" i="80"/>
  <c r="Z61" i="80"/>
  <c r="S61" i="80"/>
  <c r="Z60" i="80"/>
  <c r="S60" i="80"/>
  <c r="Z59" i="80"/>
  <c r="S59" i="80"/>
  <c r="Z58" i="80"/>
  <c r="S58" i="80"/>
  <c r="Z57" i="80"/>
  <c r="S57" i="80"/>
  <c r="Z56" i="80"/>
  <c r="S56" i="80"/>
  <c r="Z55" i="80"/>
  <c r="S55" i="80"/>
  <c r="Z54" i="80"/>
  <c r="S54" i="80"/>
  <c r="Z53" i="80"/>
  <c r="S53" i="80"/>
  <c r="Z52" i="80"/>
  <c r="S52" i="80"/>
  <c r="Z51" i="80"/>
  <c r="S51" i="80"/>
  <c r="Z50" i="80"/>
  <c r="S50" i="80"/>
  <c r="Z49" i="80"/>
  <c r="S49" i="80"/>
  <c r="Z48" i="80"/>
  <c r="S48" i="80"/>
  <c r="Z47" i="80"/>
  <c r="S47" i="80"/>
  <c r="Z46" i="80"/>
  <c r="S46" i="80"/>
  <c r="Z45" i="80"/>
  <c r="S45" i="80"/>
  <c r="Z44" i="80"/>
  <c r="S44" i="80"/>
  <c r="Z43" i="80"/>
  <c r="S43" i="80"/>
  <c r="Z42" i="80"/>
  <c r="S42" i="80"/>
  <c r="Z41" i="80"/>
  <c r="S41" i="80"/>
  <c r="Z40" i="80"/>
  <c r="S40" i="80"/>
  <c r="Z39" i="80"/>
  <c r="S39" i="80"/>
  <c r="Z38" i="80"/>
  <c r="S38" i="80"/>
  <c r="Z37" i="80"/>
  <c r="S37" i="80"/>
  <c r="Z36" i="80"/>
  <c r="S36" i="80"/>
  <c r="Z35" i="80"/>
  <c r="S35" i="80"/>
  <c r="Z34" i="80"/>
  <c r="S34" i="80"/>
  <c r="Z33" i="80"/>
  <c r="S33" i="80"/>
  <c r="Z32" i="80"/>
  <c r="S32" i="80"/>
  <c r="Z31" i="80"/>
  <c r="S31" i="80"/>
  <c r="Z30" i="80"/>
  <c r="S30" i="80"/>
  <c r="Z29" i="80"/>
  <c r="S29" i="80"/>
  <c r="Z28" i="80"/>
  <c r="S28" i="80"/>
  <c r="Z27" i="80"/>
  <c r="S27" i="80"/>
  <c r="Z26" i="80"/>
  <c r="S26" i="80"/>
  <c r="Z25" i="80"/>
  <c r="S25" i="80"/>
  <c r="Z24" i="80"/>
  <c r="S24" i="80"/>
  <c r="Z23" i="80"/>
  <c r="S23" i="80"/>
  <c r="Z22" i="80"/>
  <c r="S22" i="80"/>
  <c r="Z21" i="80"/>
  <c r="S21" i="80"/>
  <c r="Z20" i="80"/>
  <c r="S20" i="80"/>
  <c r="Z19" i="80"/>
  <c r="S19" i="80"/>
  <c r="Z18" i="80"/>
  <c r="S18" i="80"/>
  <c r="Z17" i="80"/>
  <c r="S17" i="80"/>
  <c r="Z16" i="80"/>
  <c r="S16" i="80"/>
  <c r="Z15" i="80"/>
  <c r="S15" i="80"/>
  <c r="Z14" i="80"/>
  <c r="S14" i="80"/>
  <c r="F14" i="80"/>
  <c r="F17" i="80" s="1"/>
  <c r="D14" i="80"/>
  <c r="D17" i="80" s="1"/>
  <c r="Z13" i="80"/>
  <c r="S13" i="80"/>
  <c r="Z12" i="80"/>
  <c r="S12" i="80"/>
  <c r="Z11" i="80"/>
  <c r="S11" i="80"/>
  <c r="Z10" i="80"/>
  <c r="S10" i="80"/>
  <c r="Z9" i="80"/>
  <c r="S9" i="80"/>
  <c r="Z8" i="80"/>
  <c r="S8" i="80"/>
  <c r="S63" i="80" s="1"/>
  <c r="D6" i="80"/>
  <c r="C6" i="80"/>
  <c r="C21" i="80" s="1"/>
  <c r="G18" i="79"/>
  <c r="F18" i="79"/>
  <c r="D18" i="79"/>
  <c r="C18" i="79"/>
  <c r="H17" i="79"/>
  <c r="E17" i="79"/>
  <c r="H16" i="79"/>
  <c r="E16" i="79"/>
  <c r="H15" i="79"/>
  <c r="H18" i="79" s="1"/>
  <c r="E15" i="79"/>
  <c r="E18" i="79" s="1"/>
  <c r="E19" i="79" s="1"/>
  <c r="E21" i="79" s="1"/>
  <c r="H14" i="79"/>
  <c r="E14" i="79"/>
  <c r="G12" i="79"/>
  <c r="F12" i="79"/>
  <c r="D12" i="79"/>
  <c r="C12" i="79"/>
  <c r="H11" i="79"/>
  <c r="E11" i="79"/>
  <c r="H10" i="79"/>
  <c r="E10" i="79"/>
  <c r="H9" i="79"/>
  <c r="H12" i="79" s="1"/>
  <c r="E9" i="79"/>
  <c r="E12" i="79" s="1"/>
  <c r="H8" i="79"/>
  <c r="E8" i="79"/>
  <c r="D4" i="79"/>
  <c r="B51" i="25"/>
  <c r="B22" i="25"/>
  <c r="B42" i="25" s="1"/>
  <c r="G7" i="78"/>
  <c r="F24" i="78"/>
  <c r="E24" i="78"/>
  <c r="D24" i="78"/>
  <c r="C24" i="78"/>
  <c r="G23" i="78"/>
  <c r="G12" i="78"/>
  <c r="G22" i="78"/>
  <c r="G11" i="78"/>
  <c r="G21" i="78"/>
  <c r="G10" i="78"/>
  <c r="G20" i="78"/>
  <c r="F13" i="78"/>
  <c r="E13" i="78"/>
  <c r="D13" i="78"/>
  <c r="D43" i="83"/>
  <c r="C43" i="83"/>
  <c r="E43" i="83"/>
  <c r="S117" i="80"/>
  <c r="C13" i="78"/>
  <c r="L62" i="1"/>
  <c r="X123" i="80"/>
  <c r="X126" i="80" s="1"/>
  <c r="D19" i="82"/>
  <c r="K63" i="1"/>
  <c r="R123" i="80"/>
  <c r="S106" i="80"/>
  <c r="S107" i="80" s="1"/>
  <c r="G12" i="83"/>
  <c r="C19" i="79"/>
  <c r="D19" i="79"/>
  <c r="Z63" i="80"/>
  <c r="Z64" i="80" s="1"/>
  <c r="L63" i="1"/>
  <c r="G9" i="78"/>
  <c r="G13" i="78"/>
  <c r="K32" i="1" s="1"/>
  <c r="G24" i="78"/>
  <c r="G26" i="78" s="1"/>
  <c r="B47" i="77"/>
  <c r="H57" i="77"/>
  <c r="G57" i="77"/>
  <c r="F57" i="77"/>
  <c r="E57" i="77"/>
  <c r="D57" i="77"/>
  <c r="I57" i="77" s="1"/>
  <c r="C57" i="77"/>
  <c r="H53" i="77"/>
  <c r="H43" i="77"/>
  <c r="H47" i="77"/>
  <c r="F15" i="77" s="1"/>
  <c r="G53" i="77"/>
  <c r="G43" i="77"/>
  <c r="G47" i="77" s="1"/>
  <c r="F14" i="77" s="1"/>
  <c r="F53" i="77"/>
  <c r="E53" i="77"/>
  <c r="E43" i="77" s="1"/>
  <c r="E47" i="77" s="1"/>
  <c r="F11" i="77" s="1"/>
  <c r="D53" i="77"/>
  <c r="D43" i="77"/>
  <c r="D47" i="77" s="1"/>
  <c r="F10" i="77" s="1"/>
  <c r="C53" i="77"/>
  <c r="C43" i="77" s="1"/>
  <c r="I52" i="77"/>
  <c r="I51" i="77"/>
  <c r="I50" i="77"/>
  <c r="I49" i="77"/>
  <c r="B49" i="77"/>
  <c r="I46" i="77"/>
  <c r="I45" i="77"/>
  <c r="I44" i="77"/>
  <c r="F43" i="77"/>
  <c r="F47" i="77" s="1"/>
  <c r="F12" i="77"/>
  <c r="H35" i="77"/>
  <c r="H59" i="77" s="1"/>
  <c r="G35" i="77"/>
  <c r="G59" i="77" s="1"/>
  <c r="I12" i="77" s="1"/>
  <c r="F35" i="77"/>
  <c r="F59" i="77" s="1"/>
  <c r="E35" i="77"/>
  <c r="E59" i="77" s="1"/>
  <c r="D35" i="77"/>
  <c r="D25" i="77" s="1"/>
  <c r="D29" i="77" s="1"/>
  <c r="C35" i="77"/>
  <c r="I25" i="77" s="1"/>
  <c r="I34" i="77"/>
  <c r="I33" i="77"/>
  <c r="I32" i="77"/>
  <c r="I31" i="77"/>
  <c r="I35" i="77" s="1"/>
  <c r="I28" i="77"/>
  <c r="I27" i="77"/>
  <c r="I26" i="77"/>
  <c r="H25" i="77"/>
  <c r="H29" i="77" s="1"/>
  <c r="E15" i="77" s="1"/>
  <c r="G15" i="77" s="1"/>
  <c r="G25" i="77"/>
  <c r="G29" i="77" s="1"/>
  <c r="F25" i="77"/>
  <c r="F29" i="77" s="1"/>
  <c r="F61" i="77" s="1"/>
  <c r="E25" i="77"/>
  <c r="E29" i="77" s="1"/>
  <c r="E4" i="77"/>
  <c r="E45" i="76"/>
  <c r="D45" i="76"/>
  <c r="E43" i="76"/>
  <c r="D43" i="76"/>
  <c r="D37" i="76"/>
  <c r="E31" i="76"/>
  <c r="D22" i="76"/>
  <c r="H15" i="76"/>
  <c r="G18" i="53" s="1"/>
  <c r="F15" i="76"/>
  <c r="C23" i="75"/>
  <c r="C4" i="75"/>
  <c r="H5" i="75" s="1"/>
  <c r="E34" i="74"/>
  <c r="D34" i="74"/>
  <c r="D19" i="74"/>
  <c r="D21" i="74" s="1"/>
  <c r="F19" i="74"/>
  <c r="F21" i="74"/>
  <c r="C7" i="74"/>
  <c r="D25" i="74" s="1"/>
  <c r="C59" i="77"/>
  <c r="D59" i="77"/>
  <c r="G15" i="78"/>
  <c r="F17" i="76"/>
  <c r="K30" i="1"/>
  <c r="E12" i="77"/>
  <c r="G12" i="77"/>
  <c r="H61" i="77"/>
  <c r="D31" i="76"/>
  <c r="E33" i="76"/>
  <c r="D33" i="76"/>
  <c r="C29" i="77"/>
  <c r="E9" i="77" s="1"/>
  <c r="H91" i="25"/>
  <c r="H90" i="25"/>
  <c r="H89" i="25"/>
  <c r="H88" i="25"/>
  <c r="H92" i="25" s="1"/>
  <c r="H87" i="25"/>
  <c r="H86" i="25"/>
  <c r="E91" i="25"/>
  <c r="E90" i="25"/>
  <c r="E89" i="25"/>
  <c r="E88" i="25"/>
  <c r="E87" i="25"/>
  <c r="E86" i="25"/>
  <c r="E92" i="25" s="1"/>
  <c r="G92" i="25"/>
  <c r="F92" i="25"/>
  <c r="D92" i="25"/>
  <c r="C69" i="25"/>
  <c r="H12" i="17"/>
  <c r="H13" i="17"/>
  <c r="F101" i="26"/>
  <c r="F49" i="3"/>
  <c r="H49" i="3"/>
  <c r="J49" i="3" s="1"/>
  <c r="F48" i="3"/>
  <c r="H48" i="3" s="1"/>
  <c r="J48" i="3" s="1"/>
  <c r="D11" i="66"/>
  <c r="C11" i="66"/>
  <c r="I24" i="64"/>
  <c r="I13" i="64"/>
  <c r="D4" i="64"/>
  <c r="D18" i="64" s="1"/>
  <c r="H26" i="64"/>
  <c r="G26" i="64"/>
  <c r="F26" i="64"/>
  <c r="E26" i="64"/>
  <c r="D26" i="64"/>
  <c r="H16" i="64"/>
  <c r="G16" i="64"/>
  <c r="F16" i="64"/>
  <c r="E16" i="64"/>
  <c r="D16" i="64"/>
  <c r="D20" i="63"/>
  <c r="C20" i="63"/>
  <c r="C22" i="63" s="1"/>
  <c r="D11" i="63"/>
  <c r="D22" i="63" s="1"/>
  <c r="C11" i="63"/>
  <c r="C3" i="63"/>
  <c r="F76" i="25"/>
  <c r="F75" i="25"/>
  <c r="I18" i="15"/>
  <c r="I19" i="15"/>
  <c r="I20" i="15"/>
  <c r="I21" i="15"/>
  <c r="E18" i="15"/>
  <c r="E19" i="15"/>
  <c r="E20" i="15"/>
  <c r="E21" i="15"/>
  <c r="H22" i="14"/>
  <c r="H23" i="14"/>
  <c r="H24" i="14"/>
  <c r="H26" i="14" s="1"/>
  <c r="H25" i="14"/>
  <c r="E22" i="14"/>
  <c r="E23" i="14"/>
  <c r="E24" i="14"/>
  <c r="E25" i="14"/>
  <c r="E21" i="14"/>
  <c r="H21" i="14"/>
  <c r="D16" i="62"/>
  <c r="B2" i="53"/>
  <c r="C2" i="1"/>
  <c r="D41" i="44"/>
  <c r="C41" i="44"/>
  <c r="C25" i="58"/>
  <c r="C5" i="58"/>
  <c r="C20" i="57"/>
  <c r="D14" i="57"/>
  <c r="D16" i="57" s="1"/>
  <c r="C14" i="57"/>
  <c r="D26" i="57"/>
  <c r="E12" i="6"/>
  <c r="D12" i="6"/>
  <c r="H43" i="17"/>
  <c r="H42" i="17"/>
  <c r="E43" i="17"/>
  <c r="E42" i="17"/>
  <c r="G44" i="17"/>
  <c r="D44" i="17"/>
  <c r="C38" i="17"/>
  <c r="C5" i="41"/>
  <c r="B2" i="3"/>
  <c r="C7" i="88"/>
  <c r="C22" i="88" s="1"/>
  <c r="C4" i="44"/>
  <c r="B61" i="77"/>
  <c r="C8" i="57"/>
  <c r="C4" i="56"/>
  <c r="D51" i="39"/>
  <c r="C51" i="39"/>
  <c r="C40" i="39"/>
  <c r="C52" i="39" s="1"/>
  <c r="C54" i="39" s="1"/>
  <c r="D40" i="39"/>
  <c r="D52" i="39" s="1"/>
  <c r="D77" i="26"/>
  <c r="C77" i="26"/>
  <c r="C96" i="25"/>
  <c r="H101" i="25"/>
  <c r="H100" i="25"/>
  <c r="H99" i="25"/>
  <c r="G102" i="25"/>
  <c r="F102" i="25"/>
  <c r="D102" i="25"/>
  <c r="C102" i="25"/>
  <c r="E101" i="25"/>
  <c r="E105" i="25"/>
  <c r="E100" i="25"/>
  <c r="E104" i="25"/>
  <c r="E99" i="25"/>
  <c r="E103" i="25" s="1"/>
  <c r="C92" i="25"/>
  <c r="C83" i="25"/>
  <c r="J40" i="25"/>
  <c r="J33" i="25"/>
  <c r="J31" i="25"/>
  <c r="D35" i="25"/>
  <c r="D37" i="25"/>
  <c r="D42" i="25"/>
  <c r="C35" i="25"/>
  <c r="C37" i="25" s="1"/>
  <c r="J20" i="25"/>
  <c r="J19" i="25"/>
  <c r="J18" i="25"/>
  <c r="J13" i="25"/>
  <c r="J12" i="25"/>
  <c r="J11" i="25"/>
  <c r="E12" i="17"/>
  <c r="E13" i="17"/>
  <c r="E14" i="17"/>
  <c r="H14" i="17"/>
  <c r="E15" i="17"/>
  <c r="H15" i="17"/>
  <c r="E18" i="17"/>
  <c r="C26" i="44"/>
  <c r="E102" i="25"/>
  <c r="K29" i="21"/>
  <c r="H29" i="21"/>
  <c r="G13" i="41"/>
  <c r="F13" i="41"/>
  <c r="D13" i="41"/>
  <c r="C13" i="41"/>
  <c r="H12" i="41"/>
  <c r="H11" i="41"/>
  <c r="H10" i="41"/>
  <c r="H9" i="41"/>
  <c r="H13" i="41" s="1"/>
  <c r="H15" i="41" s="1"/>
  <c r="H8" i="41"/>
  <c r="E12" i="41"/>
  <c r="E11" i="41"/>
  <c r="E10" i="41"/>
  <c r="E13" i="41" s="1"/>
  <c r="E15" i="41" s="1"/>
  <c r="E9" i="41"/>
  <c r="E8" i="41"/>
  <c r="C24" i="40"/>
  <c r="F33" i="40"/>
  <c r="F35" i="40" s="1"/>
  <c r="D33" i="40"/>
  <c r="D35" i="40" s="1"/>
  <c r="F17" i="40"/>
  <c r="D17" i="40"/>
  <c r="D19" i="40" s="1"/>
  <c r="C28" i="39"/>
  <c r="D20" i="39"/>
  <c r="D21" i="39" s="1"/>
  <c r="D23" i="39" s="1"/>
  <c r="C20" i="39"/>
  <c r="C21" i="39" s="1"/>
  <c r="C23" i="39" s="1"/>
  <c r="D12" i="39"/>
  <c r="C12" i="39"/>
  <c r="C5" i="39"/>
  <c r="H14" i="38"/>
  <c r="H13" i="38"/>
  <c r="H12" i="38"/>
  <c r="H11" i="38"/>
  <c r="H15" i="38" s="1"/>
  <c r="H17" i="38" s="1"/>
  <c r="H10" i="38"/>
  <c r="H9" i="38"/>
  <c r="E14" i="38"/>
  <c r="E13" i="38"/>
  <c r="E12" i="38"/>
  <c r="E11" i="38"/>
  <c r="E10" i="38"/>
  <c r="E9" i="38"/>
  <c r="E15" i="38" s="1"/>
  <c r="E17" i="38" s="1"/>
  <c r="G15" i="38"/>
  <c r="F15" i="38"/>
  <c r="D15" i="38"/>
  <c r="C15" i="38"/>
  <c r="C6" i="38"/>
  <c r="G12" i="37"/>
  <c r="F12" i="37"/>
  <c r="H11" i="37"/>
  <c r="H10" i="37"/>
  <c r="H9" i="37"/>
  <c r="H8" i="37"/>
  <c r="H7" i="37"/>
  <c r="D12" i="37"/>
  <c r="C12" i="37"/>
  <c r="E11" i="37"/>
  <c r="E10" i="37"/>
  <c r="E9" i="37"/>
  <c r="E8" i="37"/>
  <c r="E7" i="37"/>
  <c r="C4" i="37"/>
  <c r="K24" i="29"/>
  <c r="K6" i="29"/>
  <c r="Q36" i="29"/>
  <c r="P36" i="29"/>
  <c r="O36" i="29"/>
  <c r="N36" i="29"/>
  <c r="S35" i="29"/>
  <c r="R35" i="29"/>
  <c r="S34" i="29"/>
  <c r="S36" i="29"/>
  <c r="R34" i="29"/>
  <c r="S33" i="29"/>
  <c r="R33" i="29"/>
  <c r="Q29" i="29"/>
  <c r="P29" i="29"/>
  <c r="O29" i="29"/>
  <c r="N29" i="29"/>
  <c r="S28" i="29"/>
  <c r="S29" i="29" s="1"/>
  <c r="R28" i="29"/>
  <c r="S27" i="29"/>
  <c r="R27" i="29"/>
  <c r="R29" i="29"/>
  <c r="S26" i="29"/>
  <c r="R26" i="29"/>
  <c r="Q18" i="29"/>
  <c r="P18" i="29"/>
  <c r="O18" i="29"/>
  <c r="N18" i="29"/>
  <c r="S17" i="29"/>
  <c r="S18" i="29" s="1"/>
  <c r="S41" i="29" s="1"/>
  <c r="R17" i="29"/>
  <c r="S16" i="29"/>
  <c r="R16" i="29"/>
  <c r="R18" i="29" s="1"/>
  <c r="S15" i="29"/>
  <c r="R15" i="29"/>
  <c r="Q11" i="29"/>
  <c r="P11" i="29"/>
  <c r="O11" i="29"/>
  <c r="N11" i="29"/>
  <c r="S10" i="29"/>
  <c r="R10" i="29"/>
  <c r="R11" i="29" s="1"/>
  <c r="S9" i="29"/>
  <c r="S11" i="29" s="1"/>
  <c r="R9" i="29"/>
  <c r="S8" i="29"/>
  <c r="R8" i="29"/>
  <c r="G36" i="29"/>
  <c r="F36" i="29"/>
  <c r="E36" i="29"/>
  <c r="D36" i="29"/>
  <c r="I35" i="29"/>
  <c r="H35" i="29"/>
  <c r="H36" i="29" s="1"/>
  <c r="I34" i="29"/>
  <c r="I36" i="29"/>
  <c r="H34" i="29"/>
  <c r="I33" i="29"/>
  <c r="H33" i="29"/>
  <c r="A24" i="29"/>
  <c r="I28" i="29"/>
  <c r="H28" i="29"/>
  <c r="I27" i="29"/>
  <c r="I29" i="29" s="1"/>
  <c r="H27" i="29"/>
  <c r="I26" i="29"/>
  <c r="H26" i="29"/>
  <c r="G29" i="29"/>
  <c r="F29" i="29"/>
  <c r="E29" i="29"/>
  <c r="D29" i="29"/>
  <c r="A6" i="29"/>
  <c r="G18" i="29"/>
  <c r="F18" i="29"/>
  <c r="E18" i="29"/>
  <c r="D18" i="29"/>
  <c r="I17" i="29"/>
  <c r="I18" i="29" s="1"/>
  <c r="I41" i="29" s="1"/>
  <c r="H17" i="29"/>
  <c r="I16" i="29"/>
  <c r="H16" i="29"/>
  <c r="H18" i="29" s="1"/>
  <c r="I15" i="29"/>
  <c r="H15" i="29"/>
  <c r="H10" i="29"/>
  <c r="H9" i="29"/>
  <c r="H11" i="29" s="1"/>
  <c r="H8" i="29"/>
  <c r="I10" i="29"/>
  <c r="I9" i="29"/>
  <c r="I11" i="29" s="1"/>
  <c r="I40" i="29" s="1"/>
  <c r="I8" i="29"/>
  <c r="G11" i="29"/>
  <c r="F11" i="29"/>
  <c r="E11" i="29"/>
  <c r="D11" i="29"/>
  <c r="C96" i="26"/>
  <c r="C84" i="26"/>
  <c r="C51" i="26"/>
  <c r="D43" i="26"/>
  <c r="C43" i="26"/>
  <c r="C39" i="26"/>
  <c r="C22" i="26"/>
  <c r="C7" i="26"/>
  <c r="J8" i="26" s="1"/>
  <c r="J24" i="26" s="1"/>
  <c r="C113" i="25"/>
  <c r="H29" i="29"/>
  <c r="R36" i="29"/>
  <c r="F19" i="40"/>
  <c r="H12" i="37"/>
  <c r="D54" i="39"/>
  <c r="E17" i="23"/>
  <c r="D17" i="23"/>
  <c r="L39" i="21"/>
  <c r="K39" i="21"/>
  <c r="K41" i="21" s="1"/>
  <c r="H14" i="37"/>
  <c r="L41" i="21"/>
  <c r="L64" i="1"/>
  <c r="K64" i="1"/>
  <c r="L20" i="21"/>
  <c r="K20" i="21"/>
  <c r="K29" i="1" s="1"/>
  <c r="L22" i="21"/>
  <c r="L29" i="1"/>
  <c r="K9" i="21"/>
  <c r="O10" i="21" s="1"/>
  <c r="O31" i="21" s="1"/>
  <c r="H9" i="21"/>
  <c r="C6" i="17"/>
  <c r="N4" i="17" s="1"/>
  <c r="D24" i="63"/>
  <c r="F12" i="16"/>
  <c r="E12" i="16"/>
  <c r="C5" i="16"/>
  <c r="D12" i="16"/>
  <c r="K27" i="1" s="1"/>
  <c r="C12" i="16"/>
  <c r="E35" i="15"/>
  <c r="H39" i="15"/>
  <c r="G39" i="15"/>
  <c r="D39" i="15"/>
  <c r="C39" i="15"/>
  <c r="I38" i="15"/>
  <c r="E38" i="15"/>
  <c r="I37" i="15"/>
  <c r="E37" i="15"/>
  <c r="I36" i="15"/>
  <c r="E36" i="15"/>
  <c r="E28" i="15"/>
  <c r="H32" i="15"/>
  <c r="G32" i="15"/>
  <c r="D32" i="15"/>
  <c r="C32" i="15"/>
  <c r="I31" i="15"/>
  <c r="E31" i="15"/>
  <c r="I30" i="15"/>
  <c r="E30" i="15"/>
  <c r="I29" i="15"/>
  <c r="E29" i="15"/>
  <c r="H22" i="15"/>
  <c r="G22" i="15"/>
  <c r="I17" i="15"/>
  <c r="I22" i="15"/>
  <c r="I41" i="15" s="1"/>
  <c r="I43" i="15" s="1"/>
  <c r="E17" i="15"/>
  <c r="D22" i="15"/>
  <c r="C22" i="15"/>
  <c r="D14" i="15"/>
  <c r="H10" i="15"/>
  <c r="G10" i="15"/>
  <c r="I9" i="15"/>
  <c r="I8" i="15"/>
  <c r="I7" i="15"/>
  <c r="E9" i="15"/>
  <c r="E10" i="15" s="1"/>
  <c r="E8" i="15"/>
  <c r="E7" i="15"/>
  <c r="E6" i="15"/>
  <c r="D10" i="15"/>
  <c r="D41" i="15" s="1"/>
  <c r="C10" i="15"/>
  <c r="G26" i="14"/>
  <c r="F26" i="14"/>
  <c r="D26" i="14"/>
  <c r="C26" i="14"/>
  <c r="D4" i="14"/>
  <c r="G18" i="14"/>
  <c r="F18" i="14"/>
  <c r="D18" i="14"/>
  <c r="C18" i="14"/>
  <c r="H17" i="14"/>
  <c r="E17" i="14"/>
  <c r="H16" i="14"/>
  <c r="E16" i="14"/>
  <c r="H15" i="14"/>
  <c r="E15" i="14"/>
  <c r="H14" i="14"/>
  <c r="E14" i="14"/>
  <c r="G12" i="14"/>
  <c r="F12" i="14"/>
  <c r="D12" i="14"/>
  <c r="C12" i="14"/>
  <c r="H11" i="14"/>
  <c r="E11" i="14"/>
  <c r="H10" i="14"/>
  <c r="E10" i="14"/>
  <c r="H9" i="14"/>
  <c r="E9" i="14"/>
  <c r="H8" i="14"/>
  <c r="H12" i="14" s="1"/>
  <c r="E8" i="14"/>
  <c r="G17" i="13"/>
  <c r="F17" i="13"/>
  <c r="F18" i="13" s="1"/>
  <c r="H16" i="13"/>
  <c r="H15" i="13"/>
  <c r="H14" i="13"/>
  <c r="H13" i="13"/>
  <c r="H17" i="13" s="1"/>
  <c r="H18" i="13" s="1"/>
  <c r="H20" i="13" s="1"/>
  <c r="G11" i="13"/>
  <c r="F11" i="13"/>
  <c r="H10" i="13"/>
  <c r="H9" i="13"/>
  <c r="H11" i="13" s="1"/>
  <c r="H8" i="13"/>
  <c r="H7" i="13"/>
  <c r="D3" i="13"/>
  <c r="D17" i="13"/>
  <c r="C17" i="13"/>
  <c r="E16" i="13"/>
  <c r="E15" i="13"/>
  <c r="E14" i="13"/>
  <c r="E17" i="13" s="1"/>
  <c r="E18" i="13" s="1"/>
  <c r="E20" i="13" s="1"/>
  <c r="E13" i="13"/>
  <c r="E10" i="13"/>
  <c r="E9" i="13"/>
  <c r="E8" i="13"/>
  <c r="E7" i="13"/>
  <c r="D11" i="13"/>
  <c r="C11" i="13"/>
  <c r="H57" i="11"/>
  <c r="G57" i="11"/>
  <c r="H46" i="11"/>
  <c r="G46" i="11"/>
  <c r="H35" i="11"/>
  <c r="G35" i="11"/>
  <c r="D6" i="11"/>
  <c r="K2" i="11"/>
  <c r="G4" i="1"/>
  <c r="I32" i="15"/>
  <c r="G18" i="13"/>
  <c r="E12" i="14"/>
  <c r="E18" i="14"/>
  <c r="L27" i="1"/>
  <c r="I10" i="15"/>
  <c r="C18" i="13"/>
  <c r="C27" i="14"/>
  <c r="C41" i="15"/>
  <c r="G41" i="15"/>
  <c r="D18" i="13"/>
  <c r="D27" i="14"/>
  <c r="E32" i="15"/>
  <c r="I39" i="15"/>
  <c r="H41" i="15"/>
  <c r="D14" i="16"/>
  <c r="G27" i="14"/>
  <c r="F27" i="14"/>
  <c r="E11" i="13"/>
  <c r="C24" i="63"/>
  <c r="H18" i="14"/>
  <c r="F23" i="3"/>
  <c r="H23" i="3" s="1"/>
  <c r="J23" i="3" s="1"/>
  <c r="F22" i="3"/>
  <c r="H22" i="3" s="1"/>
  <c r="J22" i="3" s="1"/>
  <c r="F21" i="3"/>
  <c r="H21" i="3" s="1"/>
  <c r="J21" i="3" s="1"/>
  <c r="I20" i="3"/>
  <c r="I24" i="3" s="1"/>
  <c r="I25" i="3" s="1"/>
  <c r="I27" i="3" s="1"/>
  <c r="F19" i="3"/>
  <c r="H19" i="3" s="1"/>
  <c r="J19" i="3" s="1"/>
  <c r="F18" i="3"/>
  <c r="I14" i="3"/>
  <c r="F13" i="3"/>
  <c r="H13" i="3" s="1"/>
  <c r="J13" i="3" s="1"/>
  <c r="F12" i="3"/>
  <c r="H12" i="3" s="1"/>
  <c r="J12" i="3" s="1"/>
  <c r="F11" i="3"/>
  <c r="H11" i="3" s="1"/>
  <c r="J11" i="3" s="1"/>
  <c r="F10" i="3"/>
  <c r="F47" i="3"/>
  <c r="H47" i="3" s="1"/>
  <c r="J47" i="3" s="1"/>
  <c r="F45" i="3"/>
  <c r="H45" i="3" s="1"/>
  <c r="J45" i="3" s="1"/>
  <c r="F44" i="3"/>
  <c r="F39" i="3"/>
  <c r="H39" i="3"/>
  <c r="J39" i="3" s="1"/>
  <c r="F38" i="3"/>
  <c r="H38" i="3" s="1"/>
  <c r="J38" i="3" s="1"/>
  <c r="F37" i="3"/>
  <c r="H37" i="3" s="1"/>
  <c r="J37" i="3" s="1"/>
  <c r="F36" i="3"/>
  <c r="H36" i="3" s="1"/>
  <c r="J36" i="3" s="1"/>
  <c r="I46" i="3"/>
  <c r="I50" i="3" s="1"/>
  <c r="E46" i="3"/>
  <c r="E50" i="3" s="1"/>
  <c r="E51" i="3" s="1"/>
  <c r="E14" i="3" s="1"/>
  <c r="D46" i="3"/>
  <c r="D50" i="3" s="1"/>
  <c r="C46" i="3"/>
  <c r="C50" i="3" s="1"/>
  <c r="I40" i="3"/>
  <c r="E40" i="3"/>
  <c r="D40" i="3"/>
  <c r="E20" i="3"/>
  <c r="E24" i="3" s="1"/>
  <c r="D20" i="3"/>
  <c r="D24" i="3" s="1"/>
  <c r="C20" i="3"/>
  <c r="C24" i="3"/>
  <c r="H69" i="1"/>
  <c r="H21" i="1"/>
  <c r="G21" i="1"/>
  <c r="H10" i="3"/>
  <c r="J10" i="3" s="1"/>
  <c r="F114" i="26"/>
  <c r="J86" i="106" l="1"/>
  <c r="D71" i="142"/>
  <c r="E108" i="142"/>
  <c r="N108" i="142" s="1"/>
  <c r="O108" i="142" s="1"/>
  <c r="P108" i="142" s="1"/>
  <c r="E87" i="142"/>
  <c r="N87" i="142" s="1"/>
  <c r="O87" i="142" s="1"/>
  <c r="P87" i="142" s="1"/>
  <c r="E81" i="142"/>
  <c r="N81" i="142" s="1"/>
  <c r="O81" i="142" s="1"/>
  <c r="P81" i="142" s="1"/>
  <c r="E74" i="142"/>
  <c r="N74" i="142" s="1"/>
  <c r="O74" i="142" s="1"/>
  <c r="P74" i="142" s="1"/>
  <c r="E68" i="142"/>
  <c r="N68" i="142" s="1"/>
  <c r="O68" i="142" s="1"/>
  <c r="P68" i="142" s="1"/>
  <c r="E55" i="142"/>
  <c r="N55" i="142" s="1"/>
  <c r="O55" i="142" s="1"/>
  <c r="P55" i="142" s="1"/>
  <c r="E48" i="142"/>
  <c r="N48" i="142" s="1"/>
  <c r="O48" i="142" s="1"/>
  <c r="P48" i="142" s="1"/>
  <c r="E34" i="142"/>
  <c r="N34" i="142" s="1"/>
  <c r="O34" i="142" s="1"/>
  <c r="P34" i="142" s="1"/>
  <c r="E26" i="142"/>
  <c r="N26" i="142" s="1"/>
  <c r="O26" i="142" s="1"/>
  <c r="P26" i="142" s="1"/>
  <c r="E18" i="142"/>
  <c r="N18" i="142" s="1"/>
  <c r="O18" i="142" s="1"/>
  <c r="P18" i="142" s="1"/>
  <c r="E10" i="142"/>
  <c r="N10" i="142" s="1"/>
  <c r="O10" i="142" s="1"/>
  <c r="P10" i="142" s="1"/>
  <c r="E107" i="142"/>
  <c r="N107" i="142" s="1"/>
  <c r="E86" i="142"/>
  <c r="N86" i="142" s="1"/>
  <c r="O86" i="142" s="1"/>
  <c r="P86" i="142" s="1"/>
  <c r="E80" i="142"/>
  <c r="N80" i="142" s="1"/>
  <c r="O80" i="142" s="1"/>
  <c r="P80" i="142" s="1"/>
  <c r="E67" i="142"/>
  <c r="N67" i="142" s="1"/>
  <c r="O67" i="142" s="1"/>
  <c r="P67" i="142" s="1"/>
  <c r="E61" i="142"/>
  <c r="N61" i="142" s="1"/>
  <c r="O61" i="142" s="1"/>
  <c r="P61" i="142" s="1"/>
  <c r="E54" i="142"/>
  <c r="N54" i="142" s="1"/>
  <c r="O54" i="142" s="1"/>
  <c r="P54" i="142" s="1"/>
  <c r="E41" i="142"/>
  <c r="N41" i="142" s="1"/>
  <c r="O41" i="142" s="1"/>
  <c r="P41" i="142" s="1"/>
  <c r="E33" i="142"/>
  <c r="N33" i="142" s="1"/>
  <c r="O33" i="142" s="1"/>
  <c r="P33" i="142" s="1"/>
  <c r="E25" i="142"/>
  <c r="N25" i="142" s="1"/>
  <c r="O25" i="142" s="1"/>
  <c r="P25" i="142" s="1"/>
  <c r="E9" i="142"/>
  <c r="N9" i="142" s="1"/>
  <c r="O9" i="142" s="1"/>
  <c r="P9" i="142" s="1"/>
  <c r="E51" i="142"/>
  <c r="N51" i="142" s="1"/>
  <c r="O51" i="142" s="1"/>
  <c r="P51" i="142" s="1"/>
  <c r="E37" i="142"/>
  <c r="N37" i="142" s="1"/>
  <c r="O37" i="142" s="1"/>
  <c r="P37" i="142" s="1"/>
  <c r="E13" i="142"/>
  <c r="N13" i="142" s="1"/>
  <c r="O13" i="142" s="1"/>
  <c r="P13" i="142" s="1"/>
  <c r="E79" i="142"/>
  <c r="N79" i="142" s="1"/>
  <c r="O79" i="142" s="1"/>
  <c r="P79" i="142" s="1"/>
  <c r="E73" i="142"/>
  <c r="N73" i="142" s="1"/>
  <c r="O73" i="142" s="1"/>
  <c r="P73" i="142" s="1"/>
  <c r="E66" i="142"/>
  <c r="N66" i="142" s="1"/>
  <c r="O66" i="142" s="1"/>
  <c r="P66" i="142" s="1"/>
  <c r="E60" i="142"/>
  <c r="N60" i="142" s="1"/>
  <c r="O60" i="142" s="1"/>
  <c r="P60" i="142" s="1"/>
  <c r="E53" i="142"/>
  <c r="N53" i="142" s="1"/>
  <c r="O53" i="142" s="1"/>
  <c r="P53" i="142" s="1"/>
  <c r="E47" i="142"/>
  <c r="N47" i="142" s="1"/>
  <c r="O47" i="142" s="1"/>
  <c r="P47" i="142" s="1"/>
  <c r="E40" i="142"/>
  <c r="N40" i="142" s="1"/>
  <c r="O40" i="142" s="1"/>
  <c r="P40" i="142" s="1"/>
  <c r="E32" i="142"/>
  <c r="N32" i="142" s="1"/>
  <c r="O32" i="142" s="1"/>
  <c r="P32" i="142" s="1"/>
  <c r="E24" i="142"/>
  <c r="N24" i="142" s="1"/>
  <c r="O24" i="142" s="1"/>
  <c r="P24" i="142" s="1"/>
  <c r="E16" i="142"/>
  <c r="N16" i="142" s="1"/>
  <c r="O16" i="142" s="1"/>
  <c r="P16" i="142" s="1"/>
  <c r="E15" i="142"/>
  <c r="N15" i="142" s="1"/>
  <c r="O15" i="142" s="1"/>
  <c r="P15" i="142" s="1"/>
  <c r="E84" i="142"/>
  <c r="N84" i="142" s="1"/>
  <c r="O84" i="142" s="1"/>
  <c r="P84" i="142" s="1"/>
  <c r="E71" i="142"/>
  <c r="N71" i="142" s="1"/>
  <c r="O71" i="142" s="1"/>
  <c r="P71" i="142" s="1"/>
  <c r="E65" i="142"/>
  <c r="N65" i="142" s="1"/>
  <c r="O65" i="142" s="1"/>
  <c r="P65" i="142" s="1"/>
  <c r="E52" i="142"/>
  <c r="N52" i="142" s="1"/>
  <c r="O52" i="142" s="1"/>
  <c r="P52" i="142" s="1"/>
  <c r="E38" i="142"/>
  <c r="N38" i="142" s="1"/>
  <c r="O38" i="142" s="1"/>
  <c r="P38" i="142" s="1"/>
  <c r="E22" i="142"/>
  <c r="N22" i="142" s="1"/>
  <c r="O22" i="142" s="1"/>
  <c r="P22" i="142" s="1"/>
  <c r="E14" i="142"/>
  <c r="N14" i="142" s="1"/>
  <c r="O14" i="142" s="1"/>
  <c r="P14" i="142" s="1"/>
  <c r="E83" i="142"/>
  <c r="N83" i="142" s="1"/>
  <c r="O83" i="142" s="1"/>
  <c r="P83" i="142" s="1"/>
  <c r="E77" i="142"/>
  <c r="N77" i="142" s="1"/>
  <c r="O77" i="142" s="1"/>
  <c r="P77" i="142" s="1"/>
  <c r="E64" i="142"/>
  <c r="N64" i="142" s="1"/>
  <c r="O64" i="142" s="1"/>
  <c r="P64" i="142" s="1"/>
  <c r="E44" i="142"/>
  <c r="N44" i="142" s="1"/>
  <c r="O44" i="142" s="1"/>
  <c r="P44" i="142" s="1"/>
  <c r="E21" i="142"/>
  <c r="N21" i="142" s="1"/>
  <c r="O21" i="142" s="1"/>
  <c r="P21" i="142" s="1"/>
  <c r="E85" i="142"/>
  <c r="N85" i="142" s="1"/>
  <c r="O85" i="142" s="1"/>
  <c r="P85" i="142" s="1"/>
  <c r="E78" i="142"/>
  <c r="N78" i="142" s="1"/>
  <c r="O78" i="142" s="1"/>
  <c r="P78" i="142" s="1"/>
  <c r="E72" i="142"/>
  <c r="N72" i="142" s="1"/>
  <c r="O72" i="142" s="1"/>
  <c r="P72" i="142" s="1"/>
  <c r="E59" i="142"/>
  <c r="N59" i="142" s="1"/>
  <c r="O59" i="142" s="1"/>
  <c r="P59" i="142" s="1"/>
  <c r="E46" i="142"/>
  <c r="N46" i="142" s="1"/>
  <c r="O46" i="142" s="1"/>
  <c r="P46" i="142" s="1"/>
  <c r="E39" i="142"/>
  <c r="N39" i="142" s="1"/>
  <c r="O39" i="142" s="1"/>
  <c r="P39" i="142" s="1"/>
  <c r="E31" i="142"/>
  <c r="N31" i="142" s="1"/>
  <c r="O31" i="142" s="1"/>
  <c r="P31" i="142" s="1"/>
  <c r="E23" i="142"/>
  <c r="N23" i="142" s="1"/>
  <c r="O23" i="142" s="1"/>
  <c r="P23" i="142" s="1"/>
  <c r="E90" i="142"/>
  <c r="N90" i="142" s="1"/>
  <c r="O90" i="142" s="1"/>
  <c r="P90" i="142" s="1"/>
  <c r="E58" i="142"/>
  <c r="N58" i="142" s="1"/>
  <c r="O58" i="142" s="1"/>
  <c r="P58" i="142" s="1"/>
  <c r="E45" i="142"/>
  <c r="N45" i="142" s="1"/>
  <c r="O45" i="142" s="1"/>
  <c r="P45" i="142" s="1"/>
  <c r="E30" i="142"/>
  <c r="N30" i="142" s="1"/>
  <c r="O30" i="142" s="1"/>
  <c r="P30" i="142" s="1"/>
  <c r="E57" i="142"/>
  <c r="N57" i="142" s="1"/>
  <c r="O57" i="142" s="1"/>
  <c r="P57" i="142" s="1"/>
  <c r="E89" i="142"/>
  <c r="N89" i="142" s="1"/>
  <c r="O89" i="142" s="1"/>
  <c r="P89" i="142" s="1"/>
  <c r="E82" i="142"/>
  <c r="N82" i="142" s="1"/>
  <c r="O82" i="142" s="1"/>
  <c r="P82" i="142" s="1"/>
  <c r="E76" i="142"/>
  <c r="N76" i="142" s="1"/>
  <c r="O76" i="142" s="1"/>
  <c r="P76" i="142" s="1"/>
  <c r="E63" i="142"/>
  <c r="N63" i="142" s="1"/>
  <c r="O63" i="142" s="1"/>
  <c r="P63" i="142" s="1"/>
  <c r="E56" i="142"/>
  <c r="N56" i="142" s="1"/>
  <c r="O56" i="142" s="1"/>
  <c r="P56" i="142" s="1"/>
  <c r="E50" i="142"/>
  <c r="N50" i="142" s="1"/>
  <c r="O50" i="142" s="1"/>
  <c r="P50" i="142" s="1"/>
  <c r="E43" i="142"/>
  <c r="N43" i="142" s="1"/>
  <c r="O43" i="142" s="1"/>
  <c r="P43" i="142" s="1"/>
  <c r="E36" i="142"/>
  <c r="N36" i="142" s="1"/>
  <c r="O36" i="142" s="1"/>
  <c r="P36" i="142" s="1"/>
  <c r="E28" i="142"/>
  <c r="N28" i="142" s="1"/>
  <c r="O28" i="142" s="1"/>
  <c r="P28" i="142" s="1"/>
  <c r="E20" i="142"/>
  <c r="N20" i="142" s="1"/>
  <c r="O20" i="142" s="1"/>
  <c r="P20" i="142" s="1"/>
  <c r="E12" i="142"/>
  <c r="N12" i="142" s="1"/>
  <c r="O12" i="142" s="1"/>
  <c r="P12" i="142" s="1"/>
  <c r="E88" i="142"/>
  <c r="N88" i="142" s="1"/>
  <c r="O88" i="142" s="1"/>
  <c r="P88" i="142" s="1"/>
  <c r="E75" i="142"/>
  <c r="N75" i="142" s="1"/>
  <c r="O75" i="142" s="1"/>
  <c r="P75" i="142" s="1"/>
  <c r="E69" i="142"/>
  <c r="N69" i="142" s="1"/>
  <c r="O69" i="142" s="1"/>
  <c r="P69" i="142" s="1"/>
  <c r="E62" i="142"/>
  <c r="N62" i="142" s="1"/>
  <c r="O62" i="142" s="1"/>
  <c r="P62" i="142" s="1"/>
  <c r="E49" i="142"/>
  <c r="N49" i="142" s="1"/>
  <c r="O49" i="142" s="1"/>
  <c r="P49" i="142" s="1"/>
  <c r="E42" i="142"/>
  <c r="N42" i="142" s="1"/>
  <c r="O42" i="142" s="1"/>
  <c r="P42" i="142" s="1"/>
  <c r="E35" i="142"/>
  <c r="N35" i="142" s="1"/>
  <c r="O35" i="142" s="1"/>
  <c r="P35" i="142" s="1"/>
  <c r="E27" i="142"/>
  <c r="N27" i="142" s="1"/>
  <c r="O27" i="142" s="1"/>
  <c r="P27" i="142" s="1"/>
  <c r="E19" i="142"/>
  <c r="N19" i="142" s="1"/>
  <c r="O19" i="142" s="1"/>
  <c r="P19" i="142" s="1"/>
  <c r="E11" i="142"/>
  <c r="N11" i="142" s="1"/>
  <c r="O11" i="142" s="1"/>
  <c r="P11" i="142" s="1"/>
  <c r="E17" i="142"/>
  <c r="N17" i="142" s="1"/>
  <c r="O17" i="142" s="1"/>
  <c r="P17" i="142" s="1"/>
  <c r="E70" i="142"/>
  <c r="N70" i="142" s="1"/>
  <c r="O70" i="142" s="1"/>
  <c r="P70" i="142" s="1"/>
  <c r="E29" i="142"/>
  <c r="N29" i="142" s="1"/>
  <c r="O29" i="142" s="1"/>
  <c r="P29" i="142" s="1"/>
  <c r="L15" i="106"/>
  <c r="L19" i="106" s="1"/>
  <c r="I57" i="11"/>
  <c r="J57" i="11" s="1"/>
  <c r="E3" i="122"/>
  <c r="O9" i="25"/>
  <c r="D7" i="23"/>
  <c r="C5" i="61"/>
  <c r="C4" i="85"/>
  <c r="C4" i="87"/>
  <c r="C71" i="26"/>
  <c r="C7" i="40"/>
  <c r="D5" i="53"/>
  <c r="C5" i="86"/>
  <c r="C5" i="89"/>
  <c r="C24" i="89" s="1"/>
  <c r="G5" i="95"/>
  <c r="D6" i="66"/>
  <c r="G18" i="78"/>
  <c r="E24" i="40"/>
  <c r="E7" i="23"/>
  <c r="M9" i="25"/>
  <c r="C3" i="122"/>
  <c r="C21" i="122" s="1"/>
  <c r="D5" i="39"/>
  <c r="F90" i="106"/>
  <c r="F91" i="106" s="1"/>
  <c r="I29" i="77"/>
  <c r="D7" i="74"/>
  <c r="G19" i="17"/>
  <c r="D19" i="17"/>
  <c r="I46" i="11"/>
  <c r="J46" i="11" s="1"/>
  <c r="E41" i="17"/>
  <c r="E44" i="17" s="1"/>
  <c r="E46" i="17" s="1"/>
  <c r="F44" i="17"/>
  <c r="D25" i="63" s="1"/>
  <c r="D51" i="3"/>
  <c r="C51" i="3"/>
  <c r="C9" i="3" s="1"/>
  <c r="C14" i="3" s="1"/>
  <c r="C25" i="3" s="1"/>
  <c r="C27" i="3" s="1"/>
  <c r="F20" i="3"/>
  <c r="F24" i="3" s="1"/>
  <c r="E25" i="3"/>
  <c r="I51" i="3"/>
  <c r="I54" i="3" s="1"/>
  <c r="L67" i="1"/>
  <c r="F10" i="17"/>
  <c r="H10" i="17" s="1"/>
  <c r="H47" i="25"/>
  <c r="H35" i="25"/>
  <c r="H37" i="25" s="1"/>
  <c r="H42" i="25" s="1"/>
  <c r="H51" i="25" s="1"/>
  <c r="D47" i="25"/>
  <c r="C15" i="25"/>
  <c r="C49" i="25" s="1"/>
  <c r="J20" i="21"/>
  <c r="J22" i="21" s="1"/>
  <c r="K10" i="17"/>
  <c r="C20" i="61"/>
  <c r="I47" i="25"/>
  <c r="I15" i="25"/>
  <c r="G21" i="74"/>
  <c r="J15" i="25"/>
  <c r="C10" i="17"/>
  <c r="E10" i="17" s="1"/>
  <c r="F15" i="25"/>
  <c r="F49" i="25" s="1"/>
  <c r="F47" i="25"/>
  <c r="H44" i="17"/>
  <c r="L28" i="1" s="1"/>
  <c r="D20" i="61"/>
  <c r="D22" i="61" s="1"/>
  <c r="D7" i="86"/>
  <c r="D11" i="86" s="1"/>
  <c r="G12" i="53"/>
  <c r="C9" i="74"/>
  <c r="C19" i="74" s="1"/>
  <c r="K11" i="1" s="1"/>
  <c r="G64" i="26"/>
  <c r="D9" i="3"/>
  <c r="D14" i="3" s="1"/>
  <c r="D25" i="3" s="1"/>
  <c r="D54" i="3"/>
  <c r="L77" i="1"/>
  <c r="H27" i="14"/>
  <c r="H29" i="14" s="1"/>
  <c r="O16" i="17"/>
  <c r="D23" i="75"/>
  <c r="D5" i="86"/>
  <c r="F5" i="41"/>
  <c r="I72" i="11"/>
  <c r="D3" i="63"/>
  <c r="F83" i="25"/>
  <c r="I59" i="77"/>
  <c r="H9" i="77"/>
  <c r="I43" i="77"/>
  <c r="I47" i="77" s="1"/>
  <c r="C47" i="77"/>
  <c r="F9" i="77" s="1"/>
  <c r="E16" i="75"/>
  <c r="E18" i="75" s="1"/>
  <c r="D9" i="86"/>
  <c r="M27" i="25"/>
  <c r="D71" i="26"/>
  <c r="D28" i="39"/>
  <c r="E26" i="14"/>
  <c r="E27" i="14" s="1"/>
  <c r="E29" i="14" s="1"/>
  <c r="I9" i="77"/>
  <c r="H10" i="77"/>
  <c r="H15" i="77"/>
  <c r="I14" i="77"/>
  <c r="F19" i="79"/>
  <c r="T126" i="80"/>
  <c r="S123" i="80"/>
  <c r="J20" i="75"/>
  <c r="I14" i="64"/>
  <c r="D64" i="26"/>
  <c r="F46" i="3"/>
  <c r="F50" i="3" s="1"/>
  <c r="E96" i="26"/>
  <c r="E7" i="40"/>
  <c r="E5" i="53"/>
  <c r="E6" i="11"/>
  <c r="L2" i="11" s="1"/>
  <c r="I6" i="15"/>
  <c r="E39" i="15"/>
  <c r="K22" i="21"/>
  <c r="C42" i="25"/>
  <c r="D8" i="57"/>
  <c r="D4" i="44"/>
  <c r="E22" i="76"/>
  <c r="H11" i="77"/>
  <c r="I10" i="77"/>
  <c r="C33" i="90"/>
  <c r="C38" i="90" s="1"/>
  <c r="D6" i="92"/>
  <c r="I53" i="1"/>
  <c r="I58" i="1" s="1"/>
  <c r="E22" i="90"/>
  <c r="E24" i="90" s="1"/>
  <c r="D7" i="88"/>
  <c r="D22" i="88" s="1"/>
  <c r="D4" i="87"/>
  <c r="D5" i="58"/>
  <c r="D25" i="58" s="1"/>
  <c r="D4" i="56"/>
  <c r="C26" i="57"/>
  <c r="G47" i="25"/>
  <c r="G15" i="25"/>
  <c r="G4" i="14"/>
  <c r="S40" i="29"/>
  <c r="E12" i="37"/>
  <c r="E14" i="37" s="1"/>
  <c r="D5" i="61"/>
  <c r="D5" i="89"/>
  <c r="D24" i="89" s="1"/>
  <c r="D20" i="57"/>
  <c r="C61" i="77"/>
  <c r="D61" i="77"/>
  <c r="E10" i="77"/>
  <c r="G10" i="77" s="1"/>
  <c r="Z123" i="80"/>
  <c r="G22" i="90"/>
  <c r="G24" i="90" s="1"/>
  <c r="N27" i="25"/>
  <c r="F4" i="37"/>
  <c r="F6" i="38"/>
  <c r="E22" i="15"/>
  <c r="I35" i="15"/>
  <c r="L9" i="21"/>
  <c r="P10" i="21" s="1"/>
  <c r="P31" i="21" s="1"/>
  <c r="I29" i="21"/>
  <c r="D49" i="25"/>
  <c r="H102" i="25"/>
  <c r="D4" i="85"/>
  <c r="I5" i="95"/>
  <c r="H4" i="77"/>
  <c r="E6" i="80"/>
  <c r="D21" i="80" s="1"/>
  <c r="F12" i="90"/>
  <c r="I12" i="64"/>
  <c r="L11" i="1"/>
  <c r="H14" i="77"/>
  <c r="E14" i="77"/>
  <c r="G14" i="77" s="1"/>
  <c r="G61" i="77"/>
  <c r="K62" i="1"/>
  <c r="E16" i="26"/>
  <c r="E18" i="26" s="1"/>
  <c r="L12" i="26"/>
  <c r="M20" i="82"/>
  <c r="K4" i="74"/>
  <c r="J41" i="21"/>
  <c r="I41" i="17"/>
  <c r="E24" i="80"/>
  <c r="H14" i="80" s="1"/>
  <c r="H17" i="80" s="1"/>
  <c r="D24" i="80"/>
  <c r="E14" i="80" s="1"/>
  <c r="C88" i="26"/>
  <c r="E61" i="77"/>
  <c r="E11" i="77"/>
  <c r="G11" i="77" s="1"/>
  <c r="I11" i="77"/>
  <c r="H12" i="77"/>
  <c r="H19" i="79"/>
  <c r="H21" i="79" s="1"/>
  <c r="G19" i="79"/>
  <c r="Q123" i="80"/>
  <c r="Q126" i="80" s="1"/>
  <c r="G34" i="83"/>
  <c r="G43" i="83" s="1"/>
  <c r="G45" i="83" s="1"/>
  <c r="F21" i="11"/>
  <c r="E31" i="26"/>
  <c r="E33" i="26" s="1"/>
  <c r="L28" i="26"/>
  <c r="I20" i="21"/>
  <c r="I53" i="77"/>
  <c r="G21" i="83"/>
  <c r="G23" i="83" s="1"/>
  <c r="R126" i="80"/>
  <c r="Y126" i="80"/>
  <c r="F9" i="17"/>
  <c r="E64" i="26"/>
  <c r="C16" i="26"/>
  <c r="C18" i="26" s="1"/>
  <c r="I21" i="64"/>
  <c r="C7" i="86"/>
  <c r="C11" i="86" s="1"/>
  <c r="I35" i="11"/>
  <c r="J35" i="11" s="1"/>
  <c r="K4" i="80"/>
  <c r="D24" i="90"/>
  <c r="D16" i="26"/>
  <c r="D18" i="26" s="1"/>
  <c r="K12" i="26"/>
  <c r="F64" i="26"/>
  <c r="D37" i="89"/>
  <c r="H32" i="75"/>
  <c r="C9" i="17"/>
  <c r="E9" i="17" s="1"/>
  <c r="E19" i="17" s="1"/>
  <c r="C50" i="17" s="1"/>
  <c r="I10" i="64"/>
  <c r="K66" i="1"/>
  <c r="D66" i="26"/>
  <c r="G69" i="1"/>
  <c r="I9" i="64"/>
  <c r="J28" i="26"/>
  <c r="C16" i="75"/>
  <c r="H39" i="21"/>
  <c r="H41" i="21" s="1"/>
  <c r="G13" i="53"/>
  <c r="C16" i="57"/>
  <c r="C30" i="75"/>
  <c r="G80" i="1"/>
  <c r="G82" i="1" s="1"/>
  <c r="K13" i="1"/>
  <c r="H22" i="21"/>
  <c r="C31" i="26"/>
  <c r="C22" i="90"/>
  <c r="K67" i="1"/>
  <c r="N16" i="17"/>
  <c r="H20" i="75"/>
  <c r="D1" i="142" l="1"/>
  <c r="E213" i="106"/>
  <c r="K83" i="106" s="1"/>
  <c r="L83" i="106" s="1"/>
  <c r="L84" i="106" s="1"/>
  <c r="F193" i="106"/>
  <c r="F196" i="106" s="1"/>
  <c r="F213" i="106" s="1"/>
  <c r="I28" i="15"/>
  <c r="L29" i="21"/>
  <c r="B24" i="78"/>
  <c r="K13" i="29"/>
  <c r="F113" i="25"/>
  <c r="B35" i="25"/>
  <c r="A31" i="29"/>
  <c r="F96" i="25"/>
  <c r="G3" i="13"/>
  <c r="D7" i="26"/>
  <c r="K8" i="26" s="1"/>
  <c r="K24" i="26" s="1"/>
  <c r="D22" i="26"/>
  <c r="D30" i="90"/>
  <c r="E7" i="82"/>
  <c r="D39" i="26"/>
  <c r="F7" i="82"/>
  <c r="A13" i="29"/>
  <c r="B15" i="25"/>
  <c r="E7" i="74"/>
  <c r="F6" i="80"/>
  <c r="E5" i="16"/>
  <c r="A25" i="83"/>
  <c r="F6" i="17"/>
  <c r="O4" i="17" s="1"/>
  <c r="K31" i="29"/>
  <c r="I39" i="11"/>
  <c r="B53" i="77"/>
  <c r="D4" i="75"/>
  <c r="I5" i="75" s="1"/>
  <c r="E51" i="26"/>
  <c r="G4" i="79"/>
  <c r="H14" i="15"/>
  <c r="E12" i="90"/>
  <c r="L13" i="90" s="1"/>
  <c r="F38" i="17"/>
  <c r="I9" i="21"/>
  <c r="E37" i="76"/>
  <c r="H4" i="1"/>
  <c r="D3" i="122" s="1"/>
  <c r="D21" i="122" s="1"/>
  <c r="D19" i="92"/>
  <c r="O27" i="25"/>
  <c r="L77" i="106"/>
  <c r="G29" i="120"/>
  <c r="C54" i="3"/>
  <c r="K75" i="1"/>
  <c r="L75" i="1"/>
  <c r="C24" i="80"/>
  <c r="K28" i="1"/>
  <c r="C22" i="25"/>
  <c r="C51" i="25" s="1"/>
  <c r="F17" i="25"/>
  <c r="F22" i="25" s="1"/>
  <c r="F51" i="25" s="1"/>
  <c r="I19" i="17"/>
  <c r="C21" i="74"/>
  <c r="H49" i="25"/>
  <c r="H46" i="17"/>
  <c r="G15" i="53"/>
  <c r="C32" i="75"/>
  <c r="D13" i="86"/>
  <c r="I17" i="25"/>
  <c r="I22" i="25" s="1"/>
  <c r="I51" i="25" s="1"/>
  <c r="I49" i="25"/>
  <c r="H15" i="53"/>
  <c r="L13" i="1"/>
  <c r="E17" i="80"/>
  <c r="J12" i="26"/>
  <c r="C19" i="17"/>
  <c r="C13" i="86"/>
  <c r="D27" i="3"/>
  <c r="K77" i="1"/>
  <c r="D40" i="90"/>
  <c r="I15" i="77"/>
  <c r="I16" i="77" s="1"/>
  <c r="L31" i="1"/>
  <c r="L4" i="74"/>
  <c r="F7" i="74"/>
  <c r="E25" i="74"/>
  <c r="F14" i="3"/>
  <c r="F25" i="3" s="1"/>
  <c r="G17" i="53"/>
  <c r="L66" i="1"/>
  <c r="F66" i="26"/>
  <c r="E66" i="26"/>
  <c r="L36" i="1"/>
  <c r="E21" i="53"/>
  <c r="I22" i="21"/>
  <c r="L20" i="82"/>
  <c r="E16" i="82"/>
  <c r="E19" i="82" s="1"/>
  <c r="L48" i="1"/>
  <c r="D13" i="56"/>
  <c r="L51" i="1"/>
  <c r="E16" i="77"/>
  <c r="E21" i="11"/>
  <c r="E23" i="11" s="1"/>
  <c r="F16" i="77"/>
  <c r="G9" i="77"/>
  <c r="G16" i="77" s="1"/>
  <c r="G18" i="77" s="1"/>
  <c r="C13" i="56"/>
  <c r="C15" i="56" s="1"/>
  <c r="D31" i="26"/>
  <c r="D33" i="26" s="1"/>
  <c r="K28" i="26"/>
  <c r="H17" i="1"/>
  <c r="H23" i="1" s="1"/>
  <c r="D18" i="89"/>
  <c r="D20" i="89" s="1"/>
  <c r="D16" i="75"/>
  <c r="D18" i="75" s="1"/>
  <c r="I20" i="75"/>
  <c r="H9" i="17"/>
  <c r="H19" i="17" s="1"/>
  <c r="F50" i="17" s="1"/>
  <c r="F19" i="17"/>
  <c r="H80" i="1"/>
  <c r="H82" i="1" s="1"/>
  <c r="D30" i="75"/>
  <c r="D32" i="75" s="1"/>
  <c r="I32" i="75"/>
  <c r="G16" i="82"/>
  <c r="G19" i="82" s="1"/>
  <c r="I61" i="77"/>
  <c r="K31" i="1" s="1"/>
  <c r="H64" i="26"/>
  <c r="L46" i="1"/>
  <c r="H53" i="1"/>
  <c r="S126" i="80"/>
  <c r="S124" i="80"/>
  <c r="H17" i="53"/>
  <c r="I41" i="21"/>
  <c r="I44" i="17"/>
  <c r="K41" i="17"/>
  <c r="K44" i="17" s="1"/>
  <c r="K46" i="17" s="1"/>
  <c r="D36" i="58"/>
  <c r="D19" i="58" s="1"/>
  <c r="D21" i="58" s="1"/>
  <c r="K20" i="82"/>
  <c r="C16" i="82"/>
  <c r="C19" i="82" s="1"/>
  <c r="K48" i="1"/>
  <c r="K16" i="1"/>
  <c r="L16" i="1"/>
  <c r="F23" i="11"/>
  <c r="E47" i="25"/>
  <c r="J47" i="25" s="1"/>
  <c r="J35" i="25"/>
  <c r="E35" i="25"/>
  <c r="Z124" i="80"/>
  <c r="Z126" i="80"/>
  <c r="Z127" i="80" s="1"/>
  <c r="G49" i="25"/>
  <c r="G17" i="25"/>
  <c r="G22" i="25" s="1"/>
  <c r="G51" i="25" s="1"/>
  <c r="E41" i="15"/>
  <c r="E43" i="15" s="1"/>
  <c r="H16" i="77"/>
  <c r="H18" i="77" s="1"/>
  <c r="G53" i="1"/>
  <c r="G58" i="1" s="1"/>
  <c r="G71" i="1" s="1"/>
  <c r="I22" i="64"/>
  <c r="D21" i="11"/>
  <c r="C14" i="80"/>
  <c r="S64" i="80"/>
  <c r="D21" i="53"/>
  <c r="D99" i="26" s="1"/>
  <c r="D101" i="26" s="1"/>
  <c r="D114" i="26" s="1"/>
  <c r="D116" i="26" s="1"/>
  <c r="C36" i="58"/>
  <c r="C19" i="58" s="1"/>
  <c r="G14" i="53" s="1"/>
  <c r="I8" i="64"/>
  <c r="C22" i="61"/>
  <c r="I11" i="64"/>
  <c r="C18" i="89"/>
  <c r="C20" i="89" s="1"/>
  <c r="G17" i="1"/>
  <c r="G23" i="1" s="1"/>
  <c r="I23" i="64"/>
  <c r="G37" i="1"/>
  <c r="C33" i="26"/>
  <c r="K14" i="1"/>
  <c r="C18" i="75"/>
  <c r="C64" i="26"/>
  <c r="K50" i="1"/>
  <c r="C40" i="90"/>
  <c r="K51" i="1"/>
  <c r="C24" i="90"/>
  <c r="G22" i="53"/>
  <c r="C92" i="26"/>
  <c r="N9" i="25" l="1"/>
  <c r="L60" i="106"/>
  <c r="L61" i="106" s="1"/>
  <c r="I69" i="1" s="1"/>
  <c r="I71" i="1" s="1"/>
  <c r="I18" i="77"/>
  <c r="L47" i="1"/>
  <c r="H9" i="53"/>
  <c r="D23" i="53"/>
  <c r="D25" i="53" s="1"/>
  <c r="G18" i="3" s="1"/>
  <c r="C21" i="58"/>
  <c r="G84" i="1"/>
  <c r="K47" i="1"/>
  <c r="L50" i="1"/>
  <c r="G11" i="53"/>
  <c r="G9" i="53"/>
  <c r="E23" i="53"/>
  <c r="E25" i="53" s="1"/>
  <c r="E99" i="26"/>
  <c r="E101" i="26" s="1"/>
  <c r="H58" i="1"/>
  <c r="C27" i="44"/>
  <c r="C42" i="44" s="1"/>
  <c r="D15" i="56"/>
  <c r="D27" i="44"/>
  <c r="H37" i="1"/>
  <c r="E37" i="25"/>
  <c r="E49" i="25"/>
  <c r="J49" i="25" s="1"/>
  <c r="J50" i="25" s="1"/>
  <c r="J17" i="25"/>
  <c r="J22" i="25" s="1"/>
  <c r="H14" i="53"/>
  <c r="K78" i="1"/>
  <c r="F27" i="3"/>
  <c r="L9" i="1"/>
  <c r="L14" i="1"/>
  <c r="H11" i="53"/>
  <c r="G39" i="1"/>
  <c r="C17" i="80"/>
  <c r="S127" i="80"/>
  <c r="K46" i="1"/>
  <c r="D23" i="11"/>
  <c r="K9" i="1"/>
  <c r="C66" i="26"/>
  <c r="K36" i="1"/>
  <c r="H66" i="26" l="1"/>
  <c r="F35" i="3"/>
  <c r="D28" i="53"/>
  <c r="D30" i="53" s="1"/>
  <c r="D31" i="53" s="1"/>
  <c r="L33" i="1"/>
  <c r="E42" i="25"/>
  <c r="E51" i="25" s="1"/>
  <c r="J51" i="25" s="1"/>
  <c r="J37" i="25"/>
  <c r="J42" i="25" s="1"/>
  <c r="H71" i="1"/>
  <c r="D42" i="44"/>
  <c r="E108" i="26"/>
  <c r="E114" i="26" s="1"/>
  <c r="D84" i="26"/>
  <c r="D88" i="26" s="1"/>
  <c r="H39" i="1"/>
  <c r="E28" i="53"/>
  <c r="G86" i="1"/>
  <c r="C39" i="89"/>
  <c r="H18" i="3"/>
  <c r="K79" i="1"/>
  <c r="G20" i="3"/>
  <c r="G24" i="3" s="1"/>
  <c r="F40" i="3" l="1"/>
  <c r="F51" i="3" s="1"/>
  <c r="E30" i="53"/>
  <c r="D39" i="89"/>
  <c r="H84" i="1"/>
  <c r="E116" i="26"/>
  <c r="D92" i="26"/>
  <c r="F116" i="26"/>
  <c r="H22" i="53"/>
  <c r="J52" i="25"/>
  <c r="K33" i="1"/>
  <c r="J18" i="3"/>
  <c r="J20" i="3" s="1"/>
  <c r="J24" i="3" s="1"/>
  <c r="H20" i="3"/>
  <c r="H24" i="3" s="1"/>
  <c r="F54" i="3" l="1"/>
  <c r="L78" i="1"/>
  <c r="H86" i="1"/>
  <c r="E31" i="53"/>
  <c r="G44" i="3"/>
  <c r="L79" i="1" l="1"/>
  <c r="G46" i="3"/>
  <c r="G50" i="3" s="1"/>
  <c r="H44" i="3"/>
  <c r="J44" i="3" l="1"/>
  <c r="J46" i="3" s="1"/>
  <c r="J50" i="3" s="1"/>
  <c r="H46" i="3"/>
  <c r="H50" i="3" s="1"/>
  <c r="F45" i="106" l="1"/>
  <c r="F47" i="106" s="1"/>
  <c r="P16" i="17" l="1"/>
  <c r="F29" i="120"/>
  <c r="I17" i="1"/>
  <c r="I23" i="1" s="1"/>
  <c r="J19" i="17" l="1"/>
  <c r="K9" i="17" l="1"/>
  <c r="K19" i="17" s="1"/>
  <c r="I50" i="17" s="1"/>
  <c r="L79" i="106"/>
  <c r="L80" i="106" s="1"/>
  <c r="K86" i="106"/>
  <c r="F129" i="106"/>
  <c r="F130" i="106" s="1"/>
  <c r="F132" i="106" s="1"/>
  <c r="E132" i="106"/>
  <c r="F134" i="106" l="1"/>
  <c r="J91" i="106"/>
  <c r="K22" i="17"/>
  <c r="L86" i="106"/>
  <c r="J90" i="106" s="1"/>
  <c r="G35" i="3" l="1"/>
  <c r="I80" i="1"/>
  <c r="G66" i="26"/>
  <c r="I37" i="1"/>
  <c r="I39" i="1" s="1"/>
  <c r="I82" i="1" l="1"/>
  <c r="I84" i="1" s="1"/>
  <c r="I86" i="1" s="1"/>
  <c r="E17" i="122"/>
  <c r="E19" i="122" s="1"/>
  <c r="G40" i="3"/>
  <c r="G51" i="3" s="1"/>
  <c r="H35" i="3"/>
  <c r="G9" i="3" l="1"/>
  <c r="G54" i="3"/>
  <c r="L76" i="1"/>
  <c r="J35" i="3"/>
  <c r="J40" i="3" s="1"/>
  <c r="J51" i="3" s="1"/>
  <c r="J54" i="3" s="1"/>
  <c r="H40" i="3"/>
  <c r="H51" i="3" s="1"/>
  <c r="H54" i="3" s="1"/>
  <c r="H9" i="3" l="1"/>
  <c r="G14" i="3"/>
  <c r="G25" i="3" s="1"/>
  <c r="G27" i="3" l="1"/>
  <c r="K76" i="1"/>
  <c r="H14" i="3"/>
  <c r="H25" i="3" s="1"/>
  <c r="H27" i="3" s="1"/>
  <c r="J9" i="3"/>
  <c r="J14" i="3" s="1"/>
  <c r="J25" i="3" s="1"/>
  <c r="J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tc={06F1A03D-45A7-4562-ABFC-3417D9AA685B}</author>
  </authors>
  <commentList>
    <comment ref="Q7" authorId="0" shapeId="0" xr:uid="{06F1A03D-45A7-4562-ABFC-3417D9AA685B}">
      <text>
        <t>[Comentario encadenado]
Tu versión de Excel te permite leer este comentario encadenado; sin embargo, las ediciones que se apliquen se quitarán si el archivo se abre en una versión más reciente de Excel. Más información: https://go.microsoft.com/fwlink/?linkid=870924
Comentario:
    BAJO -MEDIO - ALTO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5" authorId="0" shapeId="0" xr:uid="{00000000-0006-0000-0000-000001000000}">
      <text>
        <r>
          <rPr>
            <b/>
            <sz val="8"/>
            <color indexed="81"/>
            <rFont val="Tahoma"/>
            <family val="2"/>
          </rPr>
          <t>Autor:</t>
        </r>
        <r>
          <rPr>
            <sz val="8"/>
            <color indexed="81"/>
            <rFont val="Tahoma"/>
            <family val="2"/>
          </rPr>
          <t xml:space="preserve">
Ingresar fecha de informe desde lista desplegable</t>
        </r>
      </text>
    </comment>
    <comment ref="C11" authorId="0" shapeId="0" xr:uid="{00000000-0006-0000-0000-000002000000}">
      <text>
        <r>
          <rPr>
            <b/>
            <sz val="8"/>
            <color indexed="81"/>
            <rFont val="Tahoma"/>
            <family val="2"/>
          </rPr>
          <t>Autor:</t>
        </r>
        <r>
          <rPr>
            <sz val="8"/>
            <color indexed="81"/>
            <rFont val="Tahoma"/>
            <family val="2"/>
          </rPr>
          <t xml:space="preserve">
Ingresar nombre de la sociedad desde lista desplegable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7" authorId="0" shapeId="0" xr:uid="{00000000-0006-0000-0E00-000001000000}">
      <text>
        <r>
          <rPr>
            <b/>
            <sz val="8"/>
            <color indexed="81"/>
            <rFont val="Tahoma"/>
            <family val="2"/>
          </rPr>
          <t>Autor:</t>
        </r>
        <r>
          <rPr>
            <sz val="8"/>
            <color indexed="81"/>
            <rFont val="Tahoma"/>
            <family val="2"/>
          </rPr>
          <t xml:space="preserve">
Seleccionar desde lista desplegable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7" authorId="0" shapeId="0" xr:uid="{00000000-0006-0000-1B00-000001000000}">
      <text>
        <r>
          <rPr>
            <sz val="8"/>
            <color indexed="81"/>
            <rFont val="Tahoma"/>
            <family val="2"/>
          </rPr>
          <t xml:space="preserve">
Elegir desde lista desplegable el concepto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8" authorId="0" shapeId="0" xr:uid="{00000000-0006-0000-2D00-000001000000}">
      <text>
        <r>
          <rPr>
            <b/>
            <sz val="8"/>
            <color indexed="81"/>
            <rFont val="Tahoma"/>
            <family val="2"/>
          </rPr>
          <t>Autor:</t>
        </r>
        <r>
          <rPr>
            <sz val="8"/>
            <color indexed="81"/>
            <rFont val="Tahoma"/>
            <family val="2"/>
          </rPr>
          <t xml:space="preserve">
Debe ser la suma de las provisiones corrientes y no corrientes</t>
        </r>
      </text>
    </comment>
  </commentList>
</comments>
</file>

<file path=xl/sharedStrings.xml><?xml version="1.0" encoding="utf-8"?>
<sst xmlns="http://schemas.openxmlformats.org/spreadsheetml/2006/main" count="4751" uniqueCount="1761">
  <si>
    <t>Activos Corrientes</t>
  </si>
  <si>
    <t>Activos biológicos Corrientes</t>
  </si>
  <si>
    <t>clasificados como mantenidos para la venta</t>
  </si>
  <si>
    <t>Total de Activos Corrientes</t>
  </si>
  <si>
    <t>Activos no Corrientes</t>
  </si>
  <si>
    <t>Otros activos financieros no corrientes</t>
  </si>
  <si>
    <t>Derechos por cobrar no corrientes</t>
  </si>
  <si>
    <t>Plusvalía</t>
  </si>
  <si>
    <t>Activos biológicos, no Corrientes</t>
  </si>
  <si>
    <t>Propiedades de inversion</t>
  </si>
  <si>
    <t>Total de Activos no Corrientes</t>
  </si>
  <si>
    <t>TOTAL DE ACTIVOS</t>
  </si>
  <si>
    <t>Efectivo y equivalentes al efectivo</t>
  </si>
  <si>
    <t xml:space="preserve">Otros activos financieros, Corrientes </t>
  </si>
  <si>
    <t xml:space="preserve">Otros activos no financieros, corrientes </t>
  </si>
  <si>
    <t>Deudores comerciales y otras cuentas por cobrar corrientes</t>
  </si>
  <si>
    <t>Cuentas por cobrar a entidades relacionadas, corrientes</t>
  </si>
  <si>
    <t>Inventarios</t>
  </si>
  <si>
    <t xml:space="preserve">Activos por impuestos Corrientes </t>
  </si>
  <si>
    <t>ESTADO DE SITUACION FINANCIERA</t>
  </si>
  <si>
    <t>M$</t>
  </si>
  <si>
    <t>NOTA</t>
  </si>
  <si>
    <t xml:space="preserve">Otros activos no financieros no corrientes </t>
  </si>
  <si>
    <t xml:space="preserve">Cuentas por cobrar a entidades relacionadas, no corrientes </t>
  </si>
  <si>
    <t>Inversiones contabilizadas utilizando el método de la participación</t>
  </si>
  <si>
    <t xml:space="preserve">Activos intangibles distintos de la plusvalía </t>
  </si>
  <si>
    <t xml:space="preserve">Propiedades, planta y equipo </t>
  </si>
  <si>
    <t>Activos por impuestos diferidos</t>
  </si>
  <si>
    <t>PASIVOS</t>
  </si>
  <si>
    <t>Pasivos Corrientes</t>
  </si>
  <si>
    <t>Provisiones corrientes por beneficios a los empleados</t>
  </si>
  <si>
    <t>Total de pasivos corrientes distintos de los pasivos</t>
  </si>
  <si>
    <t>incluidos en grupos de activos para su disposición</t>
  </si>
  <si>
    <t>Total de Pasivos Corrientes</t>
  </si>
  <si>
    <t>Pasivos No Corrientes</t>
  </si>
  <si>
    <t>Pasivos, no Corrientes</t>
  </si>
  <si>
    <t>Provisiones no corrientes por beneficios a los empleados</t>
  </si>
  <si>
    <t>Total de Pasivos No Corrientes</t>
  </si>
  <si>
    <t>TOTAL DE PASIVOS</t>
  </si>
  <si>
    <t>Patrimonio</t>
  </si>
  <si>
    <t>Ganancias (pérdidas) acumuladas</t>
  </si>
  <si>
    <t>Otras participaciones en el patrimonio</t>
  </si>
  <si>
    <t>Otras reservas</t>
  </si>
  <si>
    <t>Ganancia (pérdida) del ejercicio</t>
  </si>
  <si>
    <t>controladora</t>
  </si>
  <si>
    <t>Participaciones no controladoras</t>
  </si>
  <si>
    <t>Patrimonio Total</t>
  </si>
  <si>
    <t>TOTAL DE PATRIMONIO Y PASIVOS</t>
  </si>
  <si>
    <t xml:space="preserve">Otros pasivos financieros, Corrientes </t>
  </si>
  <si>
    <t>Cuentas por pagar comerciales y otras cuentas por pagar</t>
  </si>
  <si>
    <t xml:space="preserve">Cuentas por pagar a entidades relacionadas, corrientes </t>
  </si>
  <si>
    <t>Otras provisiones corrientes</t>
  </si>
  <si>
    <t>Pasivos por impuestos, Corrientes</t>
  </si>
  <si>
    <t xml:space="preserve">Otros pasivos no financieros, corrientes </t>
  </si>
  <si>
    <t xml:space="preserve">Otros pasivos financieros, no corrientes </t>
  </si>
  <si>
    <t xml:space="preserve">Otras provisiones no corrientes </t>
  </si>
  <si>
    <t xml:space="preserve">Pasivo por impuestos diferidos </t>
  </si>
  <si>
    <t xml:space="preserve">Otros pasivos no financieros, no corrientes </t>
  </si>
  <si>
    <t>ACTIVOS</t>
  </si>
  <si>
    <t>PASIVOS Y PATRIMONIO</t>
  </si>
  <si>
    <t>Cuentas por pagar a entidades relacionadas, no corrientes</t>
  </si>
  <si>
    <t>Patrimonio atribuible a los propietarios de la controladora</t>
  </si>
  <si>
    <t>control = 0</t>
  </si>
  <si>
    <t>SERVICIOS NO FINANCIEROS</t>
  </si>
  <si>
    <t>Ingresos financieros</t>
  </si>
  <si>
    <t>Costos financieros</t>
  </si>
  <si>
    <t>Diferencias de cambio</t>
  </si>
  <si>
    <t>Resultado por unidades de reajuste</t>
  </si>
  <si>
    <t>Ganancia (pérdida) procedente de operaciones continuadas</t>
  </si>
  <si>
    <t>Ganancia (pérdida) procedente de operaciones discontinuadas</t>
  </si>
  <si>
    <t>SERVICIOS FINANCIEROS</t>
  </si>
  <si>
    <t>Resultado por inversiones en sociedades</t>
  </si>
  <si>
    <t>Ganancia (pérdida)</t>
  </si>
  <si>
    <t>Ingresos de actividades ordinarias</t>
  </si>
  <si>
    <t>Fondo</t>
  </si>
  <si>
    <t>social</t>
  </si>
  <si>
    <t>Otras</t>
  </si>
  <si>
    <t>participaciones</t>
  </si>
  <si>
    <t>en el patrimonio</t>
  </si>
  <si>
    <t>reservas</t>
  </si>
  <si>
    <t>varias</t>
  </si>
  <si>
    <t>Ganancias</t>
  </si>
  <si>
    <t>(pérdidas)</t>
  </si>
  <si>
    <t>acumuladas</t>
  </si>
  <si>
    <t>atribuible a los</t>
  </si>
  <si>
    <t>propietarios</t>
  </si>
  <si>
    <t>de la</t>
  </si>
  <si>
    <t>Participaciones</t>
  </si>
  <si>
    <t>no controladoras</t>
  </si>
  <si>
    <t>total</t>
  </si>
  <si>
    <t>Incremento (disminución) por cambios en</t>
  </si>
  <si>
    <t>políticas contables</t>
  </si>
  <si>
    <t>Incremento (disminución) por correcciones</t>
  </si>
  <si>
    <t>de errores</t>
  </si>
  <si>
    <t>Saldo Inicial reexpresado</t>
  </si>
  <si>
    <t>Cambios en patrimonio</t>
  </si>
  <si>
    <t>Resultado integral</t>
  </si>
  <si>
    <t>Otro resultado integral</t>
  </si>
  <si>
    <t>Incremento de fondo social</t>
  </si>
  <si>
    <t>Total de cambios en patrimonio</t>
  </si>
  <si>
    <t>comprueba saldo final</t>
  </si>
  <si>
    <t>comprueba saldo inicial</t>
  </si>
  <si>
    <t>No ingresar datos</t>
  </si>
  <si>
    <t>Otros</t>
  </si>
  <si>
    <t>PERIODOS</t>
  </si>
  <si>
    <t>ESTADO DE SITUACION</t>
  </si>
  <si>
    <t>ESTADO DE RESULTADO E INTEGRAL</t>
  </si>
  <si>
    <t>ESTADO DE FLUJO DE EFECTIVO</t>
  </si>
  <si>
    <t xml:space="preserve">Otros </t>
  </si>
  <si>
    <t>Total</t>
  </si>
  <si>
    <t>resultados</t>
  </si>
  <si>
    <t>vencimiento</t>
  </si>
  <si>
    <t>Otros activos financieros, corrientes</t>
  </si>
  <si>
    <t>Depreciación</t>
  </si>
  <si>
    <t>Salud</t>
  </si>
  <si>
    <t>Ajustes</t>
  </si>
  <si>
    <t>Total de activos corrientes distintos de los activos o grupos de activos para su disposición clasificados como mantenidos para la venta o como mantenidos para distribuir a los propietarios</t>
  </si>
  <si>
    <t>Activos no corrientes o grupos de activos para su disposición clasificados como mantenidos para la venta</t>
  </si>
  <si>
    <t>Activos no corrientes o grupos de activos para su disposición clasificados como mantenidos para distribuir a los propietarios</t>
  </si>
  <si>
    <t>Activos no corrientes o grupos de activos para su disposición clasificados como mantenidos para la venta o como mantenidos para distribuir a los propietarios</t>
  </si>
  <si>
    <t>Pasivos</t>
  </si>
  <si>
    <t>Cuentas por pagar a entidades relacionadas, corrientes</t>
  </si>
  <si>
    <t>Pasivos incluidos en grupos de activos para su disposición clasificados como mantenidos para la venta</t>
  </si>
  <si>
    <t>Conceptos</t>
  </si>
  <si>
    <t>Actual</t>
  </si>
  <si>
    <t>Periodo</t>
  </si>
  <si>
    <t>Anterior</t>
  </si>
  <si>
    <t>Saldo al</t>
  </si>
  <si>
    <t>Caja (a)</t>
  </si>
  <si>
    <t>Bancos (b)</t>
  </si>
  <si>
    <t>Depósitos a plazo (c)</t>
  </si>
  <si>
    <t>Moneda</t>
  </si>
  <si>
    <t>Tipo de Inversión</t>
  </si>
  <si>
    <t>CLP</t>
  </si>
  <si>
    <t>UF</t>
  </si>
  <si>
    <t>USD</t>
  </si>
  <si>
    <t>Capital Moneda de Origen  (miles)</t>
  </si>
  <si>
    <t>Tasa Anual Promedio</t>
  </si>
  <si>
    <t>Días Promedio al Vencimiento</t>
  </si>
  <si>
    <t>Capital Moneda Local</t>
  </si>
  <si>
    <t>Intereses Devengados Moneda Local</t>
  </si>
  <si>
    <t>Periodo Actual</t>
  </si>
  <si>
    <t>( c )DEPOSITOS A PLAZO</t>
  </si>
  <si>
    <t>( e ) OTRO EFECTIVO Y EQUIVALENTES</t>
  </si>
  <si>
    <t>Fecha de inicio</t>
  </si>
  <si>
    <t>Fecha de Termino</t>
  </si>
  <si>
    <t>Valor inicial (nominal)</t>
  </si>
  <si>
    <t>Valor final</t>
  </si>
  <si>
    <t>Tasa anual %</t>
  </si>
  <si>
    <t>Valor contable periodo actual</t>
  </si>
  <si>
    <t>Institucion</t>
  </si>
  <si>
    <t>Consumo</t>
  </si>
  <si>
    <t>Microempresarios</t>
  </si>
  <si>
    <t>Fines Educacionales</t>
  </si>
  <si>
    <t>Mutuos Hipotecarios No Endosables</t>
  </si>
  <si>
    <t>Sub-Total (1)</t>
  </si>
  <si>
    <t>Trabajadores</t>
  </si>
  <si>
    <t>Pensionados</t>
  </si>
  <si>
    <t>Sub-Total (2)</t>
  </si>
  <si>
    <t>TOTAL (1) + (2)</t>
  </si>
  <si>
    <t>Saldo</t>
  </si>
  <si>
    <t xml:space="preserve">Monto Nominal </t>
  </si>
  <si>
    <t>Provisiones Incobrables</t>
  </si>
  <si>
    <t>NOTA 9 – COLOCACIONES DE CREDITO SOCIAL CORRIENTES (NETO)</t>
  </si>
  <si>
    <t>NOTA 8 - EFECTIVO Y EQUIVALENTES AL EFECTIVO</t>
  </si>
  <si>
    <t>NOTA 10 – DEUDORES PREVISIONALES (NETO)</t>
  </si>
  <si>
    <t>Colocaciones Trabajadores</t>
  </si>
  <si>
    <t>Colocaciones Pensionados</t>
  </si>
  <si>
    <t>Otras Deudas</t>
  </si>
  <si>
    <t>Sub-Total (3)</t>
  </si>
  <si>
    <t>TOTAL (1) + (2) + (3)</t>
  </si>
  <si>
    <t>NOTA 11 – ACTIVOS POR MUTUOS HIPOTECARIOS ENDOSABLES</t>
  </si>
  <si>
    <t>a) Mutuos hipotecarios endosables (neto)</t>
  </si>
  <si>
    <t>N° de mutuos</t>
  </si>
  <si>
    <t>Monto (1)</t>
  </si>
  <si>
    <t>Provisión incobrabilidad y morosidad (2)</t>
  </si>
  <si>
    <t>Monto neto (3) = (1) – (2)</t>
  </si>
  <si>
    <t>Fines del Mutuo</t>
  </si>
  <si>
    <t xml:space="preserve"> Total</t>
  </si>
  <si>
    <t xml:space="preserve">Bienes Raíces </t>
  </si>
  <si>
    <t>Refinanciamiento</t>
  </si>
  <si>
    <t>11.1 Corrientes</t>
  </si>
  <si>
    <t>b) Documentos (cuentas) por cobrar</t>
  </si>
  <si>
    <t>Concepto</t>
  </si>
  <si>
    <t>c) Mutuos hipotecarios endosables en proceso de inscripción (neto)</t>
  </si>
  <si>
    <t>Sin trámite de inscripción en el CBR</t>
  </si>
  <si>
    <t>En proceso de inscripción en el CBR</t>
  </si>
  <si>
    <t>a) Mutuos hipotecarios endosables en garantía (neto)</t>
  </si>
  <si>
    <t>Provisión incobrabilidad y morosidad</t>
  </si>
  <si>
    <t>TOTAL</t>
  </si>
  <si>
    <t>Institución que está garantizando</t>
  </si>
  <si>
    <t xml:space="preserve"> N° de Mutuos </t>
  </si>
  <si>
    <t>Monto M$</t>
  </si>
  <si>
    <t>Periodo actual</t>
  </si>
  <si>
    <t>Periodo anterior</t>
  </si>
  <si>
    <t>11.2 No corrientes</t>
  </si>
  <si>
    <t>CORRIENTES</t>
  </si>
  <si>
    <t>NOTA 12 – DEUDORES COMERCIALES Y OTRAS CUENTAS POR COBRAR CORRIENTES</t>
  </si>
  <si>
    <t xml:space="preserve"> Concepto</t>
  </si>
  <si>
    <t>Periodo Anterior</t>
  </si>
  <si>
    <t>Sub-Total</t>
  </si>
  <si>
    <t>CONTROL  = 0</t>
  </si>
  <si>
    <t>COLOCACIONES DE CREDITO SOCIAL CORRIENTES (NETO)</t>
  </si>
  <si>
    <t>CONTROL</t>
  </si>
  <si>
    <t>Subtotal</t>
  </si>
  <si>
    <t xml:space="preserve">Saldo </t>
  </si>
  <si>
    <t>NOTA 14 - INVERSIONES CONTABILIZADAS UTILIZANDO EL METODO DE LA PARTICIPACION</t>
  </si>
  <si>
    <t>Sociedad</t>
  </si>
  <si>
    <t>Valor libro inicial</t>
  </si>
  <si>
    <t>Adquisición de inversiones</t>
  </si>
  <si>
    <t>Venta de inversiones</t>
  </si>
  <si>
    <t>Participación sobre resultados</t>
  </si>
  <si>
    <t>Dividendos percibidos</t>
  </si>
  <si>
    <t>Provisión para pérdidas de inversiones</t>
  </si>
  <si>
    <t>MOVIMIENTO DE LA INVERSIÒN</t>
  </si>
  <si>
    <t>MOVIMIENTO DEL DETERIORO</t>
  </si>
  <si>
    <t>Saldo al inicio del ejercicio</t>
  </si>
  <si>
    <t>Aumento/Disminución neta</t>
  </si>
  <si>
    <t>NOTA 15 – INVENTARIOS</t>
  </si>
  <si>
    <t>Clases de inventario</t>
  </si>
  <si>
    <t>NOTA 16 - SALDOS Y TRANSACCIONES CON ENTIDADES RELACIONADAS</t>
  </si>
  <si>
    <t>Condiciones</t>
  </si>
  <si>
    <t xml:space="preserve">Plazo </t>
  </si>
  <si>
    <t>RUT</t>
  </si>
  <si>
    <t>Naturaleza de la relación</t>
  </si>
  <si>
    <t>de pago</t>
  </si>
  <si>
    <t>(2)</t>
  </si>
  <si>
    <t>NO CORRIENTES</t>
  </si>
  <si>
    <t>CUENTAS POR COBRAR A EMPRESAS RELACIONADAS</t>
  </si>
  <si>
    <t>CUENTAS POR PAGAR A EMPRESAS RELACIONADAS</t>
  </si>
  <si>
    <t>(1)</t>
  </si>
  <si>
    <t>(cargo)/abono</t>
  </si>
  <si>
    <t xml:space="preserve">Descripcion </t>
  </si>
  <si>
    <t xml:space="preserve">de la </t>
  </si>
  <si>
    <t>transaccion</t>
  </si>
  <si>
    <t xml:space="preserve">Monto </t>
  </si>
  <si>
    <t>Efecto en</t>
  </si>
  <si>
    <t>Ejercicio Actual</t>
  </si>
  <si>
    <t>d) Remuneraciones recibidas por el personal clave de la gerencia por categoría</t>
  </si>
  <si>
    <t>c) Detalle de partes relacionadas y transacciones con partes relacionadas</t>
  </si>
  <si>
    <t>Remuneraciones recibidas por el personal clave de la gerencia, salarios</t>
  </si>
  <si>
    <t>Remuneraciones recibidas por el personal clave de la gerencia, otros</t>
  </si>
  <si>
    <t>Total remuneraciones recibidas por el personal clave de la gerencia</t>
  </si>
  <si>
    <t>Ejercicio actual</t>
  </si>
  <si>
    <t>Ejercicio anterior</t>
  </si>
  <si>
    <t>Remuneraciones recibidas por el personal clave de la gerencia, honorarios de administradores</t>
  </si>
  <si>
    <t>Remuneraciones recibidas por el personal clave de la gerencia, correcciones de valor y beneficios no monetarios</t>
  </si>
  <si>
    <t>Remuneraciones recibidas por el personal clave de la gerencia, beneficios a corto plazo para empleados</t>
  </si>
  <si>
    <t>Remuneraciones recibidas por el personal clave de la gerencia, beneficios post-empleos</t>
  </si>
  <si>
    <t>Remuneraciones recibidas por el personal clave de la gerencia, beneficios a largo plazo</t>
  </si>
  <si>
    <t>Remuneraciones recibidas por el personal clave de la gerencia, beneficios por terminación, pagos basados en acciones</t>
  </si>
  <si>
    <t>NOTA 17 - ACTIVOS INTANGIBLES DISTINTOS DE LA PLUSVALIA</t>
  </si>
  <si>
    <t>Años de vida útil</t>
  </si>
  <si>
    <t>Saldo Bruto</t>
  </si>
  <si>
    <t>Saldo neto</t>
  </si>
  <si>
    <t>Amort y det. acum.</t>
  </si>
  <si>
    <t>Años amort. remanente</t>
  </si>
  <si>
    <t>Periodo Ant.</t>
  </si>
  <si>
    <t>Intangibles adquiridos en forma independiente</t>
  </si>
  <si>
    <t>Intangibles adquiridos en combinación de negocios</t>
  </si>
  <si>
    <t>Intangibles generados internamente</t>
  </si>
  <si>
    <t>Adquisiciones</t>
  </si>
  <si>
    <t>Retiros</t>
  </si>
  <si>
    <t>Traspasos</t>
  </si>
  <si>
    <t>NOTA 18 - PROPIEDADES, PLANTAS Y EQUIPOS</t>
  </si>
  <si>
    <t>Adiciones</t>
  </si>
  <si>
    <t>Edificios</t>
  </si>
  <si>
    <t>Instalaciones fijas y accesorios</t>
  </si>
  <si>
    <t>Control = 0</t>
  </si>
  <si>
    <t>a) La composición por clase de Propiedades, plantas y equipos al cierre del período, a valores neto y bruto es la siguiente</t>
  </si>
  <si>
    <t>Hasta 1 año</t>
  </si>
  <si>
    <t>De 1 a 5 años</t>
  </si>
  <si>
    <t>Más de 5 años</t>
  </si>
  <si>
    <r>
      <t xml:space="preserve">b) CONTRATOS DE ARRIENDO </t>
    </r>
    <r>
      <rPr>
        <b/>
        <sz val="10"/>
        <color theme="1"/>
        <rFont val="Calibri"/>
        <family val="2"/>
        <scheme val="minor"/>
      </rPr>
      <t xml:space="preserve">OPERATIVOS </t>
    </r>
    <r>
      <rPr>
        <sz val="10"/>
        <color theme="1"/>
        <rFont val="Calibri"/>
        <family val="2"/>
        <scheme val="minor"/>
      </rPr>
      <t>- PAGOS FUTUROS</t>
    </r>
  </si>
  <si>
    <r>
      <t xml:space="preserve">d) CONTRATOS DE ARRIENDO </t>
    </r>
    <r>
      <rPr>
        <b/>
        <sz val="10"/>
        <color theme="1"/>
        <rFont val="Calibri"/>
        <family val="2"/>
        <scheme val="minor"/>
      </rPr>
      <t xml:space="preserve">FINANCIEROS  </t>
    </r>
    <r>
      <rPr>
        <sz val="10"/>
        <color theme="1"/>
        <rFont val="Calibri"/>
        <family val="2"/>
        <scheme val="minor"/>
      </rPr>
      <t>- PAGOS FUTUROS</t>
    </r>
  </si>
  <si>
    <t>d) Vidas útiles</t>
  </si>
  <si>
    <t>Terrenos</t>
  </si>
  <si>
    <t>Planta y equipos</t>
  </si>
  <si>
    <t>Vida útil Mínima</t>
  </si>
  <si>
    <t>Vida útil Máxima</t>
  </si>
  <si>
    <t>Vida útil Promedio Ponderado</t>
  </si>
  <si>
    <t>NOTA 19 - IMPUESTOS CORRIENTES E IMPUESTOS DIFERIDOS</t>
  </si>
  <si>
    <t>(a) Impuesto corriente</t>
  </si>
  <si>
    <t>Crédito por gastos por capacitación</t>
  </si>
  <si>
    <t>Crédito por adquisición de activos fijos</t>
  </si>
  <si>
    <t>Crédito por donaciones</t>
  </si>
  <si>
    <t>PPM por pérdidas acumuladas Articulo N° 31, inciso 3</t>
  </si>
  <si>
    <t>ACTIVO POR IMPUESTO CORRIENTE</t>
  </si>
  <si>
    <t>PASIVO POR IMPUESTO CORRIENTE</t>
  </si>
  <si>
    <t>CONTROL = 0</t>
  </si>
  <si>
    <t>(b) Efecto de impuestos diferidos en patrimonio</t>
  </si>
  <si>
    <t>TOTAL Cargo (Abono) en PATRIMONIO</t>
  </si>
  <si>
    <t>(c) Impuestos diferidos</t>
  </si>
  <si>
    <t xml:space="preserve"> Periodo Actual</t>
  </si>
  <si>
    <t>Activo</t>
  </si>
  <si>
    <t>Pasivo</t>
  </si>
  <si>
    <t>(d) Resultado por impuestos</t>
  </si>
  <si>
    <t>Gastos por impuesta a la renta:</t>
  </si>
  <si>
    <t>Impuesto año corriente</t>
  </si>
  <si>
    <t>Abono (cargo) por impuestos diferidos:</t>
  </si>
  <si>
    <t>Originación y reverso de diferencias temporarias</t>
  </si>
  <si>
    <t>Cambio en diferencias temporales no reconocidas</t>
  </si>
  <si>
    <t>Beneficio fiscal ejercicios anteriores</t>
  </si>
  <si>
    <t>Impuesto por gastos rechazados Artículo N°21</t>
  </si>
  <si>
    <t>PPM por pérdidas acumuladas Artículo N° 31, inciso 3</t>
  </si>
  <si>
    <t>Cargo (abono) neto a resultados por impuesto a la renta</t>
  </si>
  <si>
    <t>Reconocimientos de pérdidas tributarias no reconocidas previamente</t>
  </si>
  <si>
    <t>CONTROL = 0 gasto</t>
  </si>
  <si>
    <t>CONTROL = 0 gasto por diferidos</t>
  </si>
  <si>
    <t>(e) Reconciliación de la tasa de impuesto efectiva</t>
  </si>
  <si>
    <t>Utilidad antes de impuesto</t>
  </si>
  <si>
    <t>Tasa de impuesto aplicable</t>
  </si>
  <si>
    <t>Diferencias permanentes</t>
  </si>
  <si>
    <t>Impuesto único (gastos rechazados)</t>
  </si>
  <si>
    <t>Efecto tributario de los gastos que no son deducibles al calcular la renta imponible</t>
  </si>
  <si>
    <t>Tasa efectiva y gasto por impuesto a la renta</t>
  </si>
  <si>
    <t>Tasa Impuesto  %</t>
  </si>
  <si>
    <t>NOTA 20 – COLOCACIONES DE CREDITO SOCIAL NO CORRIENTES (NETO)</t>
  </si>
  <si>
    <t>NOTA 21 – OTROS ACTIVOS NO FINANCIEROS</t>
  </si>
  <si>
    <t xml:space="preserve"> Periodo Actual </t>
  </si>
  <si>
    <t>NOTA 22 – PASIVOS POR MUTUOS HIPOTECARIOS ENDOSABLES</t>
  </si>
  <si>
    <t>a) Mutuos hipotecarios endosables por pagar:</t>
  </si>
  <si>
    <t>Personas naturales (1)</t>
  </si>
  <si>
    <t>Personas Jurídicas (2)</t>
  </si>
  <si>
    <t>Total (3) = (1) + (2)</t>
  </si>
  <si>
    <t>Fines del mutuo</t>
  </si>
  <si>
    <t>Tipo Acreedor</t>
  </si>
  <si>
    <t>Bienes Raíces</t>
  </si>
  <si>
    <t xml:space="preserve"> Refinanciamiento </t>
  </si>
  <si>
    <t xml:space="preserve">N° </t>
  </si>
  <si>
    <t>Monto  M$</t>
  </si>
  <si>
    <t>22.1 Corrientes</t>
  </si>
  <si>
    <t>b) Mutuos hipotecarios endosables por pagar en proceso de inscripción:</t>
  </si>
  <si>
    <t>Sin tramites de inscripción en CBR</t>
  </si>
  <si>
    <t>En proceso de inscripción en CBR</t>
  </si>
  <si>
    <t>22.2 No corrientes</t>
  </si>
  <si>
    <t>Obligaciones con bancos e instituciones financieras</t>
  </si>
  <si>
    <t>Obligaciones con instituciones públicas</t>
  </si>
  <si>
    <t>Obligaciones con el público</t>
  </si>
  <si>
    <t>Obligaciones por leasing</t>
  </si>
  <si>
    <t>a) Corrientes</t>
  </si>
  <si>
    <t>Otros Pasivos Financieros</t>
  </si>
  <si>
    <t xml:space="preserve"> </t>
  </si>
  <si>
    <t>b) No corrientes</t>
  </si>
  <si>
    <t>Más de 10 años</t>
  </si>
  <si>
    <t>NOTA 24 – CUENTAS POR PAGAR COMERCIALES Y OTRAS CUENTAS POR PAGAR</t>
  </si>
  <si>
    <t>b) Pagos en exceso publicados</t>
  </si>
  <si>
    <t>a) La composición de la cuenta</t>
  </si>
  <si>
    <t>I Trimestre</t>
  </si>
  <si>
    <t>II Trimestre</t>
  </si>
  <si>
    <t>III Trimestre</t>
  </si>
  <si>
    <t>IV Trimestre</t>
  </si>
  <si>
    <t xml:space="preserve">Saldo inicial </t>
  </si>
  <si>
    <t xml:space="preserve">Incrementos </t>
  </si>
  <si>
    <t xml:space="preserve">Disminuciones </t>
  </si>
  <si>
    <t>c) Pagos en exceso retirados</t>
  </si>
  <si>
    <t>d) Pagos en exceso generados</t>
  </si>
  <si>
    <t>NOTA 25 – PROVISIONES POR CREDITO SOCIAL</t>
  </si>
  <si>
    <t>Fines educacionales</t>
  </si>
  <si>
    <t>Colocaciones (trabajadores)</t>
  </si>
  <si>
    <t>Colocaciones (pensionados)</t>
  </si>
  <si>
    <t>Mutuos hipotecarios endosables</t>
  </si>
  <si>
    <t>Mutuos hipotecarios no endosables</t>
  </si>
  <si>
    <t>Por mutuo hipotecario</t>
  </si>
  <si>
    <t>Estándar</t>
  </si>
  <si>
    <t>Por riesgo idiosincrático</t>
  </si>
  <si>
    <t>Por riesgo sistémico</t>
  </si>
  <si>
    <t>NOTA 26 – OTROS PASIVOS NO FINANCIEROS</t>
  </si>
  <si>
    <t>26.1 Corrientes</t>
  </si>
  <si>
    <t>26.2 No corrientes</t>
  </si>
  <si>
    <t>Proveedores</t>
  </si>
  <si>
    <t>Otras Provisiones</t>
  </si>
  <si>
    <t>Servicios</t>
  </si>
  <si>
    <t>Venta bienes</t>
  </si>
  <si>
    <t>Matrículas y mensualidad</t>
  </si>
  <si>
    <t>Otros (especificar)</t>
  </si>
  <si>
    <t xml:space="preserve">Ingresos Ordinarios </t>
  </si>
  <si>
    <t>NOTA 29 – INGRESOS POR INTERESES Y REAJUSTES</t>
  </si>
  <si>
    <t xml:space="preserve"> Intereses </t>
  </si>
  <si>
    <t xml:space="preserve">Reajustes </t>
  </si>
  <si>
    <t>NOTA 30 – GASTOS POR INTERESES Y REAJUSTES</t>
  </si>
  <si>
    <t>Reajustes</t>
  </si>
  <si>
    <t xml:space="preserve"> TOTAL</t>
  </si>
  <si>
    <t>NOTA 31 – PRESTACIONES ADICIONALES</t>
  </si>
  <si>
    <t>Tipo de beneficio</t>
  </si>
  <si>
    <t>a) Ingresos</t>
  </si>
  <si>
    <t>b) Egresos</t>
  </si>
  <si>
    <t>NOTA 32 - INGRESOS Y GASTOS POR COMISIONES</t>
  </si>
  <si>
    <t xml:space="preserve"> N°  Operaciones</t>
  </si>
  <si>
    <t>b) Gastos</t>
  </si>
  <si>
    <t>NOTA 33 - PROVISION POR RIESGO DE CREDITO</t>
  </si>
  <si>
    <t>Generada en el ejercicio</t>
  </si>
  <si>
    <t>Reversada en el ejercicio</t>
  </si>
  <si>
    <t>NOTA 34 - OTROS INGRESOS Y GASTOS OPERACIONALES</t>
  </si>
  <si>
    <t>a) Otros ingresos operacionales</t>
  </si>
  <si>
    <t>Otros ingresos operaciones</t>
  </si>
  <si>
    <t>b) Otros gastos operacionales</t>
  </si>
  <si>
    <t>Otros gastos operaciones</t>
  </si>
  <si>
    <t>NOTA 35 – REMUNERACIONES Y GASTOS DEL PERSONAL</t>
  </si>
  <si>
    <t>Remuneraciones del personal</t>
  </si>
  <si>
    <t>Bonos o gratificaciones</t>
  </si>
  <si>
    <t>Indemnización por años de servicio</t>
  </si>
  <si>
    <t>Gastos de capacitación</t>
  </si>
  <si>
    <t>Otros gastos de personal</t>
  </si>
  <si>
    <t>NOTA 36 - GASTOS DE ADMINISTRACION</t>
  </si>
  <si>
    <t>Materiales</t>
  </si>
  <si>
    <t>Servicios generales</t>
  </si>
  <si>
    <t>Promoción</t>
  </si>
  <si>
    <t>Computación</t>
  </si>
  <si>
    <t>Asesorías</t>
  </si>
  <si>
    <t>Mantención y reparación</t>
  </si>
  <si>
    <t>Consumos básicos</t>
  </si>
  <si>
    <t>Remuneraciones del Directorio</t>
  </si>
  <si>
    <t>Otros gastos del Directorio</t>
  </si>
  <si>
    <t>Gastos de Administracion</t>
  </si>
  <si>
    <t>NOTA 37 (AUMENTO) DISMINUCION EN COLOCACIONES DE CREDITO SOCIAL</t>
  </si>
  <si>
    <t>Origen de los Ingresos</t>
  </si>
  <si>
    <t>Volver</t>
  </si>
  <si>
    <t>FLUJO DE EFECTIVO</t>
  </si>
  <si>
    <t>Codigo Fupef</t>
  </si>
  <si>
    <t>PROH</t>
  </si>
  <si>
    <t>ANA1</t>
  </si>
  <si>
    <t>ANA2</t>
  </si>
  <si>
    <t>IPER</t>
  </si>
  <si>
    <t>99.542.500-9</t>
  </si>
  <si>
    <t>Inversiones Anacuara Uno</t>
  </si>
  <si>
    <t>99.542.510-6</t>
  </si>
  <si>
    <t>Inversiones Anacuara Dos</t>
  </si>
  <si>
    <t>96.943.020-7</t>
  </si>
  <si>
    <t>Sociedad de Inversiones en Personas S.A.</t>
  </si>
  <si>
    <t>Inmobiliaria Prohogar</t>
  </si>
  <si>
    <t>96.806.010 - 4</t>
  </si>
  <si>
    <t>Sigla</t>
  </si>
  <si>
    <t>Rut</t>
  </si>
  <si>
    <t>Notas solo de uso para la caja</t>
  </si>
  <si>
    <t>Otra(especificar)</t>
  </si>
  <si>
    <t>Valor Bruto</t>
  </si>
  <si>
    <t>Provision Incobrable</t>
  </si>
  <si>
    <t>Valor Neto</t>
  </si>
  <si>
    <t>Deudores por ventas servicios a terceros</t>
  </si>
  <si>
    <t>Cuentas por cobrar aranceles</t>
  </si>
  <si>
    <t>Deudores varios</t>
  </si>
  <si>
    <t>Cuentas por cobrar documentos financieros</t>
  </si>
  <si>
    <t>Cheques Protestados</t>
  </si>
  <si>
    <t>Porcentaje</t>
  </si>
  <si>
    <t>Resultado</t>
  </si>
  <si>
    <t>Participación</t>
  </si>
  <si>
    <t>participación</t>
  </si>
  <si>
    <t>sociedad</t>
  </si>
  <si>
    <t>inversión</t>
  </si>
  <si>
    <t>resultado</t>
  </si>
  <si>
    <t>Programas</t>
  </si>
  <si>
    <t>Licencias y</t>
  </si>
  <si>
    <t xml:space="preserve"> informáticos</t>
  </si>
  <si>
    <t>software</t>
  </si>
  <si>
    <t>Derechos</t>
  </si>
  <si>
    <t>Garantías</t>
  </si>
  <si>
    <t>Total M$</t>
  </si>
  <si>
    <t>Pérdidas por amotización y deterioro</t>
  </si>
  <si>
    <t>Otros (especificar concepto)</t>
  </si>
  <si>
    <t>Amortización del periodo</t>
  </si>
  <si>
    <t>Bajas del período</t>
  </si>
  <si>
    <t>Valores en Libro</t>
  </si>
  <si>
    <t>Programas informaticos</t>
  </si>
  <si>
    <t>Licencias y software</t>
  </si>
  <si>
    <t>Otros derechos</t>
  </si>
  <si>
    <t>Garantias</t>
  </si>
  <si>
    <t>Costo</t>
  </si>
  <si>
    <t>Bajas y ventas</t>
  </si>
  <si>
    <t>Reclasificaciones</t>
  </si>
  <si>
    <t xml:space="preserve">Depreciación </t>
  </si>
  <si>
    <t>Construcciones  en curso</t>
  </si>
  <si>
    <t>Mobiliario y equipo</t>
  </si>
  <si>
    <t>Equipamiento tecnológico</t>
  </si>
  <si>
    <t>Vehículos de motor</t>
  </si>
  <si>
    <t>Pérdidas por depreciación y deterioro</t>
  </si>
  <si>
    <t>Valor en libros</t>
  </si>
  <si>
    <t>Vehículos de motor bajo arriendo financiero</t>
  </si>
  <si>
    <t>b) Arrendamiento Financiero (para sociedades con activos fijos en leasing)</t>
  </si>
  <si>
    <t>Bruto</t>
  </si>
  <si>
    <t>Interés</t>
  </si>
  <si>
    <t>Menos de un año</t>
  </si>
  <si>
    <t>Más de un año pero menos de cinco años</t>
  </si>
  <si>
    <t>Más de cinco años</t>
  </si>
  <si>
    <t>Valor  presente</t>
  </si>
  <si>
    <t>Otros (Especificar)</t>
  </si>
  <si>
    <t>CONTROL = 0 gasto impuesto renta (provision)</t>
  </si>
  <si>
    <t>Ajustes al impuesto corriente del período anterior</t>
  </si>
  <si>
    <t>Otros gasto por impuesto corriente</t>
  </si>
  <si>
    <t>Ingreso (Gasto) Diferido por Impuestos Diferidos</t>
  </si>
  <si>
    <t>Gastos no deducibles (gastos financieros y no tributarios)</t>
  </si>
  <si>
    <t>Corriente</t>
  </si>
  <si>
    <t>No corriente</t>
  </si>
  <si>
    <t>Seguros anticipados</t>
  </si>
  <si>
    <t>Gastos por remodelación</t>
  </si>
  <si>
    <t>Servicios publicitarios</t>
  </si>
  <si>
    <t>Arriendos anticipados</t>
  </si>
  <si>
    <t>Gastos pagados por anticipado</t>
  </si>
  <si>
    <t>Boletas en garantía</t>
  </si>
  <si>
    <t>Inversión en otras sociedades</t>
  </si>
  <si>
    <t>21.1 Corrientes y 21.2 No corrientes</t>
  </si>
  <si>
    <t>Nombre sociedad</t>
  </si>
  <si>
    <t>Otra (especificar)</t>
  </si>
  <si>
    <t>No Corriente</t>
  </si>
  <si>
    <t>b) Detalle</t>
  </si>
  <si>
    <t>Tasa nominal %</t>
  </si>
  <si>
    <t>Acreedor</t>
  </si>
  <si>
    <t>Fija</t>
  </si>
  <si>
    <t>Variable</t>
  </si>
  <si>
    <t>%</t>
  </si>
  <si>
    <t>Total bonos con garantía de cartera</t>
  </si>
  <si>
    <t>Total bonos con terceros</t>
  </si>
  <si>
    <t>Cinco años a 10 alos</t>
  </si>
  <si>
    <t>RUT Deudora</t>
  </si>
  <si>
    <t>Nombre Deudora</t>
  </si>
  <si>
    <t>Fecha Vencimiento Final</t>
  </si>
  <si>
    <t>Hasta un mes</t>
  </si>
  <si>
    <t>Uno a tres meses</t>
  </si>
  <si>
    <t>Tres a  doce meses</t>
  </si>
  <si>
    <t>Total Corriente</t>
  </si>
  <si>
    <t>Uno a  dos años</t>
  </si>
  <si>
    <t>Dos a  Tres años</t>
  </si>
  <si>
    <t>Total No Corriente</t>
  </si>
  <si>
    <t>Tipo Amortización</t>
  </si>
  <si>
    <t>Tasa Efectiva</t>
  </si>
  <si>
    <t>Valor Nominal Obligación</t>
  </si>
  <si>
    <t>Total Obligaciones con bancos e instituciones financieras</t>
  </si>
  <si>
    <t>Total Obligaciones con instituciones públicas</t>
  </si>
  <si>
    <t>Total Obligaciones por leasing</t>
  </si>
  <si>
    <t>Total bono coorporativo</t>
  </si>
  <si>
    <t>TOTAL Obligaciones con el público</t>
  </si>
  <si>
    <t>TOTAL Otros Pasivos Financieros</t>
  </si>
  <si>
    <t>Eventos sociales y culturales</t>
  </si>
  <si>
    <t>Talleres</t>
  </si>
  <si>
    <t>Turismo internacional</t>
  </si>
  <si>
    <t>Turismo nacional</t>
  </si>
  <si>
    <t>Recreación y formación</t>
  </si>
  <si>
    <t>Vacaciones y turismo</t>
  </si>
  <si>
    <t>Esparcimiento</t>
  </si>
  <si>
    <t>Asignaciones y beneficio</t>
  </si>
  <si>
    <t>Educación y capacitación</t>
  </si>
  <si>
    <t>Eventos</t>
  </si>
  <si>
    <t>Fiesta infantil</t>
  </si>
  <si>
    <t>Fondo solidario</t>
  </si>
  <si>
    <t>Asignaciones y beneficios</t>
  </si>
  <si>
    <t>Beneficios en salud</t>
  </si>
  <si>
    <t>Paseos grupales</t>
  </si>
  <si>
    <t>Comisiones seguros de desgravamen</t>
  </si>
  <si>
    <t>Ing administracion cartera securitizada</t>
  </si>
  <si>
    <t>Otros servicios financieros prestados</t>
  </si>
  <si>
    <t>Costo de inventarios reconocidos como gasto durante el período</t>
  </si>
  <si>
    <t>Gastos por beneficios a los empleados</t>
  </si>
  <si>
    <t>Gasto por depreciación y amortización</t>
  </si>
  <si>
    <t>Otros gastos por naturaleza</t>
  </si>
  <si>
    <t>Gastos de administración (**)</t>
  </si>
  <si>
    <t>Arriendo sedes y salas</t>
  </si>
  <si>
    <t>Servicios internet e informática</t>
  </si>
  <si>
    <t>Gastos ventas y publicidad</t>
  </si>
  <si>
    <t>Actividades Recreativas</t>
  </si>
  <si>
    <t>Gastos alimentación, casino y restaurant</t>
  </si>
  <si>
    <t>Tiempo pleno</t>
  </si>
  <si>
    <t>Traslados</t>
  </si>
  <si>
    <t>Estadía</t>
  </si>
  <si>
    <t>Reversión de pérdidas por deterioro de valor (pérdidas por deterioro de valor) reconocidas en el resultado de período (*)</t>
  </si>
  <si>
    <t>Deterioro cheques protestados</t>
  </si>
  <si>
    <t>Deterioro deudores comerciales y otras cuentas</t>
  </si>
  <si>
    <t>DETERIORO</t>
  </si>
  <si>
    <t>a)  Composicion</t>
  </si>
  <si>
    <t>b)  Movimiento</t>
  </si>
  <si>
    <t>Recuperacion deterioro créditos</t>
  </si>
  <si>
    <t>Baja de activos financieros deteriorados del período</t>
  </si>
  <si>
    <t>Aumento o disminución del período</t>
  </si>
  <si>
    <t>Saldo Final</t>
  </si>
  <si>
    <t>Movimiento del Deterioro de Deudores Comerciales y Otras Cuentas por Cobrar</t>
  </si>
  <si>
    <t>a) CORRIENTE</t>
  </si>
  <si>
    <t>b) NO CORRIENTE</t>
  </si>
  <si>
    <t>IR A DETERIORO</t>
  </si>
  <si>
    <t>CONTROL DETERIORO</t>
  </si>
  <si>
    <t>PLUSVALÍA</t>
  </si>
  <si>
    <t>Movimientos del período plusvalía</t>
  </si>
  <si>
    <t>Bajas</t>
  </si>
  <si>
    <t>PROVISIONES POR BENEFICIOS A LOS EMPLEADOS</t>
  </si>
  <si>
    <t>a) Saldo</t>
  </si>
  <si>
    <t>Bonos y regalías</t>
  </si>
  <si>
    <t>Beneficios post empleo</t>
  </si>
  <si>
    <t>b) Movimiento</t>
  </si>
  <si>
    <t>Incremento (decremento) en provisiones</t>
  </si>
  <si>
    <t>Provisión utilizada</t>
  </si>
  <si>
    <t>Reverso Provisión</t>
  </si>
  <si>
    <t>Subtotal movimientos</t>
  </si>
  <si>
    <t>Saldo final</t>
  </si>
  <si>
    <t>Provision por beneficios a los empleados</t>
  </si>
  <si>
    <t>Gasto por intereses, préstamos bancarios</t>
  </si>
  <si>
    <t>COSTOS FINANCIEROS</t>
  </si>
  <si>
    <t>ACUMULADO</t>
  </si>
  <si>
    <t>Otros gastos, por naturaleza</t>
  </si>
  <si>
    <t>Gasto por impuesto a las ganancias</t>
  </si>
  <si>
    <t xml:space="preserve">Estado de Resultados </t>
  </si>
  <si>
    <t>Ganancia (Pérdida)</t>
  </si>
  <si>
    <t>Otras ganacias (pérdidas)</t>
  </si>
  <si>
    <t>Diferencia de cambio</t>
  </si>
  <si>
    <t>Ganancia (Pérdida), antes de impuestos</t>
  </si>
  <si>
    <t xml:space="preserve">Ganancia (Pérdida), atribuible a </t>
  </si>
  <si>
    <t>Ganancia (Pérdida), atribuible a los propietarios de la controladora</t>
  </si>
  <si>
    <t>Ganancia (Pérdida), atribuible a participaciones no controladoras</t>
  </si>
  <si>
    <t>Fecha Informe</t>
  </si>
  <si>
    <t>Comparativos</t>
  </si>
  <si>
    <t>DATOS</t>
  </si>
  <si>
    <t>CONTROL = O</t>
  </si>
  <si>
    <t>36 a)</t>
  </si>
  <si>
    <t>36 b)</t>
  </si>
  <si>
    <t>Volver ER SVS</t>
  </si>
  <si>
    <t>36 c)</t>
  </si>
  <si>
    <t>( ** ) La apertura  de gastos de administración es la siguiente:</t>
  </si>
  <si>
    <t>Remuneraciones del personal servicios no financieros</t>
  </si>
  <si>
    <t>Deterioro de deudores servicios no financieros</t>
  </si>
  <si>
    <t>VERIFICAR = "Verificar diferencias con NOTA solicitada"</t>
  </si>
  <si>
    <t>TOTAL MUTUOS</t>
  </si>
  <si>
    <t>18 - 17</t>
  </si>
  <si>
    <t>IR NOTA CREDITO SOCIAL</t>
  </si>
  <si>
    <t>Intereses y multas sobre impuestos</t>
  </si>
  <si>
    <t>Arriendo a Empresas Relacionadas</t>
  </si>
  <si>
    <t>Castigos Activos Fijos</t>
  </si>
  <si>
    <t>Honorarios Bci Securitizadora</t>
  </si>
  <si>
    <t>Aporte Cuotas Sociales EERR</t>
  </si>
  <si>
    <t>Recuperacion Incobrables</t>
  </si>
  <si>
    <t>Otros Costos</t>
  </si>
  <si>
    <t>Venta de activos fijo</t>
  </si>
  <si>
    <t>NOTA 42 - OTRAS GANANCIAS (PERDIDAS)</t>
  </si>
  <si>
    <t>Subtotal  servicios  NO financieros</t>
  </si>
  <si>
    <t xml:space="preserve">TOTAL </t>
  </si>
  <si>
    <t>CONTROL = 0  NO financiero</t>
  </si>
  <si>
    <t>CONTROL = 0  financiero</t>
  </si>
  <si>
    <t>Fecha de Pago</t>
  </si>
  <si>
    <t>Monto de Pago M$</t>
  </si>
  <si>
    <t>NA</t>
  </si>
  <si>
    <t>Gratificacion</t>
  </si>
  <si>
    <t>Especificar Moneda</t>
  </si>
  <si>
    <t>Tipo de Inversión / INSTITUCION</t>
  </si>
  <si>
    <t>(especificar)</t>
  </si>
  <si>
    <t>(Especificar)</t>
  </si>
  <si>
    <t>NOTA 23 -  OTROS PASIVOS FINANCIEROS</t>
  </si>
  <si>
    <t>NOTA 40 - BENEFICIOS A LOS EMPLEADOS</t>
  </si>
  <si>
    <t>Comision por recaudacion</t>
  </si>
  <si>
    <t>Comision seguro plusvida</t>
  </si>
  <si>
    <t>Comision prohogar</t>
  </si>
  <si>
    <t xml:space="preserve">Deudores comerciales y otras cuentas </t>
  </si>
  <si>
    <t>por cobrar por vencer</t>
  </si>
  <si>
    <t>Con vencimiento menor de tres meses</t>
  </si>
  <si>
    <t>Con vencimiento entre Tres y Seis Meses</t>
  </si>
  <si>
    <t>Con vencimiento entre Seis y Doce Meses</t>
  </si>
  <si>
    <t>Con vencimiento Mayor a Doce Meses</t>
  </si>
  <si>
    <t>Total Deudores Comerciales por Vencer</t>
  </si>
  <si>
    <t>Deudores comerciales y otras cuentas por</t>
  </si>
  <si>
    <t>cobrar Vencidos y No pagados</t>
  </si>
  <si>
    <t>Total Deudores Comerciales Vencidos</t>
  </si>
  <si>
    <t>Total valor bruto</t>
  </si>
  <si>
    <t>menos 1 mes</t>
  </si>
  <si>
    <t>1-3 meses</t>
  </si>
  <si>
    <t>3 meses a 1 año</t>
  </si>
  <si>
    <t>1-5 años</t>
  </si>
  <si>
    <t>más 5 años</t>
  </si>
  <si>
    <t>Activos</t>
  </si>
  <si>
    <t>Otros activos no financieros</t>
  </si>
  <si>
    <t>Deudores comerciales y otras cuentas por cobrar</t>
  </si>
  <si>
    <t>Cuentas por cobrar a entidades relacionadas</t>
  </si>
  <si>
    <t xml:space="preserve">Otros pasivos financieros </t>
  </si>
  <si>
    <t>Otros pasivos no financieros</t>
  </si>
  <si>
    <t>Número trabajadores</t>
  </si>
  <si>
    <t>Ejecutivos</t>
  </si>
  <si>
    <t>Profesionales y técnicos</t>
  </si>
  <si>
    <t>Bono movilizacion</t>
  </si>
  <si>
    <t>Incremento (disminución) por transferencias y otros cambios</t>
  </si>
  <si>
    <t>Incremento (disminución) por cambios en la participación de subsidiarias que no impliquen pérdida de control</t>
  </si>
  <si>
    <t>Pagos provisionales mensuales del ejercicio</t>
  </si>
  <si>
    <t>Pagos provisionales mensuales del ejercicio ANTERIOR</t>
  </si>
  <si>
    <t>Depreciacion y amortizacion</t>
  </si>
  <si>
    <t>Efecto de impuestos no reconocidos en el estado de resultados por IFRS</t>
  </si>
  <si>
    <t>Ingresos deducidos renta liquida</t>
  </si>
  <si>
    <t>Ingresos Exentos</t>
  </si>
  <si>
    <t>Costos no aceptados</t>
  </si>
  <si>
    <t>Efecto de no provisionar impuesto 1° categoria</t>
  </si>
  <si>
    <t xml:space="preserve">Impuesto a la tasa impositiva vigente al </t>
  </si>
  <si>
    <t>Efecto de Impuestos diferidos</t>
  </si>
  <si>
    <t>verificar obligaciones financieras</t>
  </si>
  <si>
    <t>Saldo Inicial (negativo)</t>
  </si>
  <si>
    <t>CONTROL  CTE= 0</t>
  </si>
  <si>
    <t>CONTROL  NO CTE= 0</t>
  </si>
  <si>
    <t>Ingresos anticipados</t>
  </si>
  <si>
    <t>Activo Fijo</t>
  </si>
  <si>
    <t xml:space="preserve">a. Demandas en contra de las Institución </t>
  </si>
  <si>
    <t>b. Juicios iniciados por la institución</t>
  </si>
  <si>
    <t>Demanda</t>
  </si>
  <si>
    <t>Rol</t>
  </si>
  <si>
    <t>Juzgado</t>
  </si>
  <si>
    <t>c. Garantías indirectas</t>
  </si>
  <si>
    <t>Institución financiera</t>
  </si>
  <si>
    <t>N° sesión de Directorio</t>
  </si>
  <si>
    <t>Cuantía M$/UF</t>
  </si>
  <si>
    <t>d. Garantías directas</t>
  </si>
  <si>
    <t>Bien Raíz / Garantía</t>
  </si>
  <si>
    <t>Institución Financiera</t>
  </si>
  <si>
    <t>Hipotecas a favor de instituciones financieras,  constituidas principalmente para garantizar obligaciones por préstamos bancarios</t>
  </si>
  <si>
    <t>e. Otras restricciones</t>
  </si>
  <si>
    <t>Se requiere información respecto al complimiento de límites e índices y/o relaciones financieras mientras se encuentren vigentes</t>
  </si>
  <si>
    <t>Informar boletas de garantía a favor de terceros</t>
  </si>
  <si>
    <t>CONTINGENCIAS</t>
  </si>
  <si>
    <t>UF / M$</t>
  </si>
  <si>
    <t>Cuantía M$ / UF</t>
  </si>
  <si>
    <t>Las Garantías Indirectas otorgadas a las Corporaciones y Empresas que integran el Modelo Corporativo , incluyendo AVALES</t>
  </si>
  <si>
    <t>Detalle de la transaccion</t>
  </si>
  <si>
    <t>Pago de servicios</t>
  </si>
  <si>
    <t>Subvenciones</t>
  </si>
  <si>
    <t>Facturación por --&gt; Servicios</t>
  </si>
  <si>
    <t>Pago de servicios  --&gt; Servicios generales</t>
  </si>
  <si>
    <t>Ingresos recreación</t>
  </si>
  <si>
    <t>Ingresos plus vida</t>
  </si>
  <si>
    <t>Ingresos súper seguro</t>
  </si>
  <si>
    <t>Ingresos honorarios Minvu</t>
  </si>
  <si>
    <t>Ingresos por gravámenes</t>
  </si>
  <si>
    <t>Ingresos constructora</t>
  </si>
  <si>
    <t>Donaciones</t>
  </si>
  <si>
    <t>Cuotas sociales</t>
  </si>
  <si>
    <t>INFORMACIÓN Activos TOTALMENTE DEPRECIADOS</t>
  </si>
  <si>
    <t>VALOR BRUTO M$</t>
  </si>
  <si>
    <t>Valor neto</t>
  </si>
  <si>
    <t>Terrenos bajo arriendo financiero</t>
  </si>
  <si>
    <t>Edificios bajo arriendo financiero</t>
  </si>
  <si>
    <t>Planta y Equipo bajo arriendo financiero</t>
  </si>
  <si>
    <t>Otras propiedades, planta y equipo bajo arriendo financiero</t>
  </si>
  <si>
    <t>RELACIONADA</t>
  </si>
  <si>
    <t xml:space="preserve">Saldo al </t>
  </si>
  <si>
    <t>Al Día</t>
  </si>
  <si>
    <t>1 a 30 días</t>
  </si>
  <si>
    <t>31 a 60 días</t>
  </si>
  <si>
    <t>61 a 90 días</t>
  </si>
  <si>
    <t>91 a 120 días</t>
  </si>
  <si>
    <t>121 a 150 días</t>
  </si>
  <si>
    <t>151 a 180 días</t>
  </si>
  <si>
    <t>181 a 210 días</t>
  </si>
  <si>
    <t>211 a 250 días</t>
  </si>
  <si>
    <t>mas de 250 días</t>
  </si>
  <si>
    <t xml:space="preserve">TOTAL  </t>
  </si>
  <si>
    <t xml:space="preserve">Estratificación de la cartera </t>
  </si>
  <si>
    <t>Cartera</t>
  </si>
  <si>
    <t xml:space="preserve">Total Cartera </t>
  </si>
  <si>
    <t>Facturas por Cobrar</t>
  </si>
  <si>
    <t>Iva Credito Fiscal</t>
  </si>
  <si>
    <t>Dividendos por Cobrar</t>
  </si>
  <si>
    <t>Sence</t>
  </si>
  <si>
    <t>Total cartera bruta</t>
  </si>
  <si>
    <t>EDI</t>
  </si>
  <si>
    <t>Total Cartera Neta</t>
  </si>
  <si>
    <t>Número clientes cartera no repactada [Numero]</t>
  </si>
  <si>
    <t>Número clientes cartera Repactada [Numero]</t>
  </si>
  <si>
    <t>Otros (Detallar)</t>
  </si>
  <si>
    <t xml:space="preserve">Año Actual </t>
  </si>
  <si>
    <t>Año Anterior</t>
  </si>
  <si>
    <t xml:space="preserve">b) Estratificación de la Cartera Corriente y No Corriente </t>
  </si>
  <si>
    <t>Gasto por intereses, otros (impuesto timbre)</t>
  </si>
  <si>
    <t>Agrupacion EERR</t>
  </si>
  <si>
    <t>SVS</t>
  </si>
  <si>
    <t>SubAgrupacion</t>
  </si>
  <si>
    <t>Otros Ingresos por Naturaleza</t>
  </si>
  <si>
    <t>Materias Primas y Consumibles</t>
  </si>
  <si>
    <t>Diferencia de Cambio</t>
  </si>
  <si>
    <t>AgrupacionSVS</t>
  </si>
  <si>
    <t>Ingreso Financiero</t>
  </si>
  <si>
    <t>Otros Gastos por Naturaleza</t>
  </si>
  <si>
    <t>Otros Costos Financieros</t>
  </si>
  <si>
    <t>Ingresos capacitación</t>
  </si>
  <si>
    <t>Ingresos arriendos</t>
  </si>
  <si>
    <t>Ingresos prestac.médicas y dentales</t>
  </si>
  <si>
    <t>Ingresos progr. tiempo pleno</t>
  </si>
  <si>
    <t>Ingresos progr oncológico</t>
  </si>
  <si>
    <t>Ingresos progr. preventivo</t>
  </si>
  <si>
    <t>Ingresos prestac. complementarias</t>
  </si>
  <si>
    <t>Ingresos asesorías</t>
  </si>
  <si>
    <t>Ingresos Serv. Previsionales</t>
  </si>
  <si>
    <t>Ingresos Serv. Subcontratación</t>
  </si>
  <si>
    <t>Ingresos Serv. Apoyo gestión</t>
  </si>
  <si>
    <t>Ingresos Serv Cobranza</t>
  </si>
  <si>
    <t>Otras_ganancias_perdidas</t>
  </si>
  <si>
    <t>Gastos_Beneficios_Empleados</t>
  </si>
  <si>
    <t>Otros_Ingresos_por_Naturaleza</t>
  </si>
  <si>
    <t>Gastos_Depreciacion_amortizacion</t>
  </si>
  <si>
    <t>Reversion_Perdidas_por_Deterioro</t>
  </si>
  <si>
    <t>Materias_Primas_Consumibles</t>
  </si>
  <si>
    <t>Costos_Financieros</t>
  </si>
  <si>
    <t>Diferencia_de_Cambio</t>
  </si>
  <si>
    <t>Ingresos_ Financieros</t>
  </si>
  <si>
    <t>Otros_gastos_por_Naturaleza</t>
  </si>
  <si>
    <t>Letras Protestados</t>
  </si>
  <si>
    <t>Otros Documentos Protestados</t>
  </si>
  <si>
    <t>Dividendos por Cobrar (*)</t>
  </si>
  <si>
    <t>Detalle de Dividendos por Cobrar</t>
  </si>
  <si>
    <t>Nombre Empresa</t>
  </si>
  <si>
    <t>dd/mm/aaa</t>
  </si>
  <si>
    <t>CLP /UF</t>
  </si>
  <si>
    <t>Más de 3 años hasta 4 años</t>
  </si>
  <si>
    <t>Más de 4 años hasta 5 años</t>
  </si>
  <si>
    <t>Totales</t>
  </si>
  <si>
    <t>Estado de Resultados por Naturaleza</t>
  </si>
  <si>
    <t>NOTA 28 – INGRESOS ORDINARIOS (NIIF 15)</t>
  </si>
  <si>
    <t>Sumaria de ACTIVOS</t>
  </si>
  <si>
    <t>B3-1</t>
  </si>
  <si>
    <t>Account</t>
  </si>
  <si>
    <t>5. 10   ACTIVOS</t>
  </si>
  <si>
    <t>5. 11   ACTIVO CORRIENTES</t>
  </si>
  <si>
    <t>5. 11.10.10   Efectivo y Equivalente al Efectivo</t>
  </si>
  <si>
    <t>5. 11.10.20   Otros Activos Financieros Corrientes</t>
  </si>
  <si>
    <t>5. 11.10.30   Otros Activos No Financieros Corrientes</t>
  </si>
  <si>
    <t>5. 11.10.40   Deudores Comerciales y Otras Cuentas por Cobrar</t>
  </si>
  <si>
    <t>5. 11.10.70.1   Cuentas por Cobrar a Entidades Relacionadas Corrie</t>
  </si>
  <si>
    <t>5. 11.10.80   Inventario</t>
  </si>
  <si>
    <t>5. 11.10.90   Activos por Impuestos Corrientes</t>
  </si>
  <si>
    <t>5. 11.20.20   Activos Clasificados No Corrientes para la venta</t>
  </si>
  <si>
    <t>5. 13   ACTIVOS NO CORRIENTES</t>
  </si>
  <si>
    <t>5. 13.10.10   Otros Activos Financieros No Corrientes</t>
  </si>
  <si>
    <t>5. 13.10.20   Otros Activos no Financieros No Corrientes</t>
  </si>
  <si>
    <t>5. 13.10.30   Derechos Por Cobrar no Corrientes</t>
  </si>
  <si>
    <t>5. 13.10.40   CXC Entidades Relacionadas no Corrientes</t>
  </si>
  <si>
    <t>5. 13.10.60   Activos Intangibles</t>
  </si>
  <si>
    <t>5. 13.10.70   Propiedad, Planta y Equipo</t>
  </si>
  <si>
    <t>5. 13.10.90   Activos por Impuestos Diferidos</t>
  </si>
  <si>
    <t>5. 20   PASIVOS</t>
  </si>
  <si>
    <t>5. 21   PASIVOS CORRIENTES</t>
  </si>
  <si>
    <t>5. 21.10.10   Otros Pasivos Financieros Corrientes</t>
  </si>
  <si>
    <t>5. 21.10.20   CxP comerciales y otras CXP</t>
  </si>
  <si>
    <t>5. 21.10.50   CxP a Entidades Relacionadas</t>
  </si>
  <si>
    <t>5. 21.10.60   Otras Provisiones Corrientes</t>
  </si>
  <si>
    <t>5. 21.10.70   Pasivos por Impuestos Corrientes</t>
  </si>
  <si>
    <t>5. 21.10.80   Prov. Corrientes por beneficio a los empleados</t>
  </si>
  <si>
    <t>5. 21.10.90   Otros Pasivos no Financieros Corrientes</t>
  </si>
  <si>
    <t>5. 21.20.10.1   Pasivos Mantenidos para la Venta</t>
  </si>
  <si>
    <t>5. 22   PASIVOS NO CORRIENTES</t>
  </si>
  <si>
    <t>5. 22.10.00   Otros Pasivos Financieros No Corrientes</t>
  </si>
  <si>
    <t>5. 22.20.00   Otras CxP No Corrientes</t>
  </si>
  <si>
    <t>5. 22.30.00   CxP a Entidades Relacionadas No Corrientes</t>
  </si>
  <si>
    <t>5. 22.40.00   Otras Provisiones a Largo Plazo</t>
  </si>
  <si>
    <t>5. 22.50.00   Pasivos por Impuestos Diferidos</t>
  </si>
  <si>
    <t>5. 22.60.00   Prov. No Corritentes por Beneficio a los Empleados</t>
  </si>
  <si>
    <t>5. 22.70.00   Otras Provisiones No Financieros No Corrientes</t>
  </si>
  <si>
    <t>5. 24   PATRIMONIO</t>
  </si>
  <si>
    <t>5. 24.10.00   Capital Emitido</t>
  </si>
  <si>
    <t>5. 24.40.00   Otras reservas</t>
  </si>
  <si>
    <t>5. 24.52.00   Utilidades acumuladas</t>
  </si>
  <si>
    <t>EURO</t>
  </si>
  <si>
    <t>Producto Terminado</t>
  </si>
  <si>
    <t>Empaque</t>
  </si>
  <si>
    <t>Mercaderia en transito - Clearing Acc</t>
  </si>
  <si>
    <t>Provisions de inventario Inmovilizado</t>
  </si>
  <si>
    <t>Mercaderia no conforme</t>
  </si>
  <si>
    <t>Provision de Perdida de Inventario</t>
  </si>
  <si>
    <t>Aranceles Aduaneros por Recibir</t>
  </si>
  <si>
    <t>Impuestos por pagar</t>
  </si>
  <si>
    <t>DETALLE</t>
  </si>
  <si>
    <t>NIIF</t>
  </si>
  <si>
    <t>SII</t>
  </si>
  <si>
    <t>Provisión de Incobrables</t>
  </si>
  <si>
    <t>Provisión por devoluciones y descuentos</t>
  </si>
  <si>
    <t>Provisión Reclamos Técnicos</t>
  </si>
  <si>
    <t>Provisión Vacaciones</t>
  </si>
  <si>
    <t>Provisión Bonos</t>
  </si>
  <si>
    <t>PIAS</t>
  </si>
  <si>
    <t xml:space="preserve">Deudores </t>
  </si>
  <si>
    <t>Maquinarias y equipos</t>
  </si>
  <si>
    <t>Remuneraciones por pagar</t>
  </si>
  <si>
    <t>Provisión de gastos</t>
  </si>
  <si>
    <t>Varios</t>
  </si>
  <si>
    <t>Bonos</t>
  </si>
  <si>
    <t>5. 31   RESULTADOS</t>
  </si>
  <si>
    <t>5. 31.11.11   INGRESOS POR ACTIVIDADES ORDINARIAS</t>
  </si>
  <si>
    <t>5. 31.11.12   COSTO DE VENTAS</t>
  </si>
  <si>
    <t>5. 31.11.20   OTROS GASTOS POR NATURALEZA</t>
  </si>
  <si>
    <t>5. 31.12.10   GASTOS POR BENEFICIOS A LOS EMPLEADOS</t>
  </si>
  <si>
    <t>5. 31.12.20   GASTOS POR DEPRECIACION Y AMORTIZACION</t>
  </si>
  <si>
    <t>5. 31.12.30   OTRAS GANANCIAS O PERDIDAS</t>
  </si>
  <si>
    <t>5. 31.12.50   INGRESOS FINANCIEROS</t>
  </si>
  <si>
    <t>5. 31.12.60   COSTOS FINANCIEROS (menos)</t>
  </si>
  <si>
    <t>5. 31.12.70   DETERIORO CUENTAS POR COBRAR (menos)</t>
  </si>
  <si>
    <t>5. 31.12.80   RESULTADOS POR UNIDADES DE REAJUSTE</t>
  </si>
  <si>
    <t>5. 31.12.90   DIFERENCIA DE CAMBIO</t>
  </si>
  <si>
    <t>5. 31.20.00   IMPUESTO A LA RENTA</t>
  </si>
  <si>
    <t>Costo de Venta</t>
  </si>
  <si>
    <t>Utilidad Empresas Relacionadas</t>
  </si>
  <si>
    <t>Deterioro Incobrables</t>
  </si>
  <si>
    <t>Ventas</t>
  </si>
  <si>
    <t>Exportaciones</t>
  </si>
  <si>
    <t>Intercompañias</t>
  </si>
  <si>
    <t>Ingresos por Fletes</t>
  </si>
  <si>
    <t>Diferencias de Inventario</t>
  </si>
  <si>
    <t>Material desechado</t>
  </si>
  <si>
    <t>Horas Extras</t>
  </si>
  <si>
    <t>Cargas Sociales</t>
  </si>
  <si>
    <t>Indemnizaciones</t>
  </si>
  <si>
    <t>Beneficios del pesonal</t>
  </si>
  <si>
    <t>Entrenamiento personal</t>
  </si>
  <si>
    <t>Servicios SAP</t>
  </si>
  <si>
    <t>Stip</t>
  </si>
  <si>
    <t>Arriendos de Equipos</t>
  </si>
  <si>
    <t>Fletes</t>
  </si>
  <si>
    <t>Suministros</t>
  </si>
  <si>
    <t>Seguros</t>
  </si>
  <si>
    <t>Gasto por intereses, a terceros</t>
  </si>
  <si>
    <t>Gasto por boletas en garantía</t>
  </si>
  <si>
    <t>Otros Impuestos a pagar</t>
  </si>
  <si>
    <t>Otros Impuestos Crédito</t>
  </si>
  <si>
    <t>Gastos Tesoreria</t>
  </si>
  <si>
    <t>Reclamos Tecnicos</t>
  </si>
  <si>
    <t>Provisión Impuesto a la Renta</t>
  </si>
  <si>
    <t>Bono</t>
  </si>
  <si>
    <t>Ingresos Miscelaneos</t>
  </si>
  <si>
    <t>Ingresos por Inplant</t>
  </si>
  <si>
    <t>Otros Ingresos</t>
  </si>
  <si>
    <t>Multas Entidades Públicas</t>
  </si>
  <si>
    <t>Otros Egresos</t>
  </si>
  <si>
    <t>Cuentas</t>
  </si>
  <si>
    <t>Pérdida</t>
  </si>
  <si>
    <t>Ganancia</t>
  </si>
  <si>
    <t>Fondo Fijo</t>
  </si>
  <si>
    <t>Documentos por Cobrar</t>
  </si>
  <si>
    <t>Documentos Protestados</t>
  </si>
  <si>
    <t>Fondos por Rendir</t>
  </si>
  <si>
    <t>Software Contable</t>
  </si>
  <si>
    <t>Servidumbre de Paso</t>
  </si>
  <si>
    <t>Marca Colegio de Contadores</t>
  </si>
  <si>
    <t>Muebles y Enseres</t>
  </si>
  <si>
    <t xml:space="preserve">Vehículos </t>
  </si>
  <si>
    <t>Edificaciones</t>
  </si>
  <si>
    <t>Otras Máquinas y Equipos</t>
  </si>
  <si>
    <t>4-1-03-002</t>
  </si>
  <si>
    <t>4-1-03-004</t>
  </si>
  <si>
    <t>Utilidad o (pérdida del ejercicio)</t>
  </si>
  <si>
    <t>Colegio de Contadores de Chile A.G.</t>
  </si>
  <si>
    <t>Ajuste</t>
  </si>
  <si>
    <t>Prelim</t>
  </si>
  <si>
    <t>2-1-01-001 Préstamos bancarios</t>
  </si>
  <si>
    <t>1-1-01-002 Caja Moneda Extranjera</t>
  </si>
  <si>
    <t>2-1-01-002 L.C. Operacional Banco Santander</t>
  </si>
  <si>
    <t>1-1-01-003 Fondo Fijo</t>
  </si>
  <si>
    <t>2-1-01-003 Obligación Banco Santander</t>
  </si>
  <si>
    <t>1-1-03-002 Banco Santander</t>
  </si>
  <si>
    <t>2-1-01-004 Obligaciones por leasing</t>
  </si>
  <si>
    <t>1-1-03-002 Banco Chile moneda Extranjera</t>
  </si>
  <si>
    <t>2-1-01-005 Intereses Diferidos por Leasing</t>
  </si>
  <si>
    <t>1-1-03-006 Bancos Estado</t>
  </si>
  <si>
    <t>1-1-03-007 Efectivo en transito</t>
  </si>
  <si>
    <t>1-1-04-002 Depósitos a Plazo vencimiento 30 días</t>
  </si>
  <si>
    <t>2-1-03-001 Acreedores</t>
  </si>
  <si>
    <t>2-1-03-002 Proveedores</t>
  </si>
  <si>
    <t>2-1-03-004 Provisión Gastos de Arriendo oficina</t>
  </si>
  <si>
    <t>2-1-03-005 Provisión Servicios de Auditoria</t>
  </si>
  <si>
    <t>2-1-04-001 Provisión de Vacaciones</t>
  </si>
  <si>
    <t>1-1-05-007 Forward USD</t>
  </si>
  <si>
    <t>1-1-06-001 Garantías Otorgadas</t>
  </si>
  <si>
    <t>2-1-05-001 Provisión Terremoto</t>
  </si>
  <si>
    <t>1-1-06-002 Boletas en Garantias</t>
  </si>
  <si>
    <t>1-1-06-003 Gastos Anticipados por Arriendos Anticipados</t>
  </si>
  <si>
    <t>2-1-05-003 Provisión Tipo Comercial</t>
  </si>
  <si>
    <t>1-1-06-004 Gastos Anticipados Acceso a Internet</t>
  </si>
  <si>
    <t>2-1-05-004 Provisión Medioambiental</t>
  </si>
  <si>
    <t>1-1-06-005 Gastos Anticipados Correo</t>
  </si>
  <si>
    <t>2-1-07-001 Provisión Impuesto a la Renta</t>
  </si>
  <si>
    <t>1-1-09-001 Cuentas por Cobrar</t>
  </si>
  <si>
    <t>1-1-09-002 Documentos por Cobrar</t>
  </si>
  <si>
    <t>1-1-09-004 Documentos Protestados</t>
  </si>
  <si>
    <t>1-1-09-005 Fondos por Rendir</t>
  </si>
  <si>
    <t>1-1-09-006 Clientes</t>
  </si>
  <si>
    <t>1-1-09-007 Deterioro Acumulado de Cuentas por Cobrar</t>
  </si>
  <si>
    <t>1-1-09-008 Anticipos de Deudores</t>
  </si>
  <si>
    <t>1-1-12-001 Productos Terminados</t>
  </si>
  <si>
    <t>1-1-12-002 Existencias de Materias Primas</t>
  </si>
  <si>
    <t>1-1-12-003 Existencia de Productos Elaborados</t>
  </si>
  <si>
    <t>1-1-15-001 Pagos Provisionales Mensuales</t>
  </si>
  <si>
    <t>1-1-15-002 Crédito Activo Fijo</t>
  </si>
  <si>
    <t>2-2-09-001 Pasivos por Impuestos diferidos</t>
  </si>
  <si>
    <t>1-1-15-003 Crédito Sence</t>
  </si>
  <si>
    <t>2-2-08-001 Provisión Indemnizaciones años de servicios</t>
  </si>
  <si>
    <t>1-1-13-001 Animales Vivos</t>
  </si>
  <si>
    <t>5. 11.20.10   Activos Biologicos Corrientes</t>
  </si>
  <si>
    <t>2-3-01-002 Revalorización Capital Propio</t>
  </si>
  <si>
    <t>2-3-01-003 Ganancias (pérdidas) acumuladas</t>
  </si>
  <si>
    <t>5. 24.54.00   Utilidad (pérdida) del ejercicio</t>
  </si>
  <si>
    <t>5. 13.10.50   Inversiones por el metodo de la participación</t>
  </si>
  <si>
    <t>1-2-03-001 Software Contable</t>
  </si>
  <si>
    <t>1-2-03-002 Derechos de Agua</t>
  </si>
  <si>
    <t>Control Activo - Pasivos</t>
  </si>
  <si>
    <t>1-2-03-003 Servidumbre de Paso</t>
  </si>
  <si>
    <t>1-2-03-004 Marca Colegio de Contadores</t>
  </si>
  <si>
    <t>1-2-05-001 Plusvalia</t>
  </si>
  <si>
    <t>1-2-05-002 Amortización Plusvalia</t>
  </si>
  <si>
    <t>5. 13.10.65   Plusvalia</t>
  </si>
  <si>
    <t>1-2-10-002 Muebles y Enseres</t>
  </si>
  <si>
    <t>1-2-10-004 Edificaciones</t>
  </si>
  <si>
    <t>1-2-10-006 Otras Máquinas y Equipos</t>
  </si>
  <si>
    <t>1-2-10-007 Terrenos</t>
  </si>
  <si>
    <t>1-2-10-008 Dep. Acum. de Edificaciones</t>
  </si>
  <si>
    <t>1-2-10-011 Dep. Acum. de Muebles y Enseres</t>
  </si>
  <si>
    <t>1-2-10-012 Dep. Acum. de Otras Máquinas y Equipos</t>
  </si>
  <si>
    <t>1-2-15-001 Activos por Impuestos diferidos</t>
  </si>
  <si>
    <t>3-1-01-001 Ventas</t>
  </si>
  <si>
    <t>3-1-01-002 Descuentos Otorgados</t>
  </si>
  <si>
    <t>4-1-01-001 Costo de Venta</t>
  </si>
  <si>
    <t>4-1-03-001 Honorarios</t>
  </si>
  <si>
    <t>4-1-03-003 Servicios Básicos</t>
  </si>
  <si>
    <t>4-1-03-005 Publicidad</t>
  </si>
  <si>
    <t>4-1-03-006 Asesoría Contable</t>
  </si>
  <si>
    <t>4-1-03-007 Asesoría Legal</t>
  </si>
  <si>
    <t>4-1-02-001 Remuneraciones</t>
  </si>
  <si>
    <t>4-1-02-002 Gratificaciones</t>
  </si>
  <si>
    <t>4-1-02-004 Movilización</t>
  </si>
  <si>
    <t>4-1-02-005 Capacitación</t>
  </si>
  <si>
    <t>4-1-02-006 Vacaciones</t>
  </si>
  <si>
    <t>4-1-07-002 Depreciación Maquinarias y Equipos</t>
  </si>
  <si>
    <t>4-1-07-003 Depreciación Muebles y Enseres</t>
  </si>
  <si>
    <t>4-1-07-004 Depreciación Edificios</t>
  </si>
  <si>
    <t>4-1-07-005 Depreciación Edificios en Arriendo</t>
  </si>
  <si>
    <t>4-1-09-001 Interese y Multas sobre Impuestos</t>
  </si>
  <si>
    <t>4-1-09-002 Castigo Activos Fijos</t>
  </si>
  <si>
    <t>4-1-09-003 Venta de Activos Fijos</t>
  </si>
  <si>
    <t>4-1-13-003 Gastos Rechazados</t>
  </si>
  <si>
    <t>5. 31.12.40   GANANCIA INVERSIÓN EMPRESAS RELACIONADAS</t>
  </si>
  <si>
    <t>3-1-04-001 Intereses Ganados por Depositos a Plazo</t>
  </si>
  <si>
    <t>3-1-04-002 Intereses Ganados Fondos Mutuos</t>
  </si>
  <si>
    <t>4-1-10-001 Intereses Pagados por Préstamos</t>
  </si>
  <si>
    <t>4-1-10-002 Intereses Pagados por Leasing</t>
  </si>
  <si>
    <t>4-1-10-003 Intereses Pagados por Linea de Credito</t>
  </si>
  <si>
    <t>4-1-05-001 Deudores Incobrables</t>
  </si>
  <si>
    <t>4-1-20-001 Impuesto a La Renta</t>
  </si>
  <si>
    <t>5. 31.50.00  UTILIDAD O PÉRDIDA DEL EJERCICIO</t>
  </si>
  <si>
    <t>análisis</t>
  </si>
  <si>
    <t>ok</t>
  </si>
  <si>
    <t>revisar</t>
  </si>
  <si>
    <t>Monedas</t>
  </si>
  <si>
    <t>Cotizaciones al</t>
  </si>
  <si>
    <t>31.12.2021</t>
  </si>
  <si>
    <t>Dólar</t>
  </si>
  <si>
    <t>Euro</t>
  </si>
  <si>
    <t>Mes</t>
  </si>
  <si>
    <t>Tasa Interés</t>
  </si>
  <si>
    <t>30.06.2022</t>
  </si>
  <si>
    <t>Mercado</t>
  </si>
  <si>
    <t>Corrección Monetaria</t>
  </si>
  <si>
    <t>VIPC Abril</t>
  </si>
  <si>
    <t>VIPC 2do Semestre</t>
  </si>
  <si>
    <t>VIPC Anual</t>
  </si>
  <si>
    <t>Agosto</t>
  </si>
  <si>
    <t>Septiembre</t>
  </si>
  <si>
    <t>Octubre</t>
  </si>
  <si>
    <t>Noviembre</t>
  </si>
  <si>
    <t>Diciembre</t>
  </si>
  <si>
    <t>Detalle</t>
  </si>
  <si>
    <t>PCGA</t>
  </si>
  <si>
    <t>AJUSTE</t>
  </si>
  <si>
    <t>Fecha</t>
  </si>
  <si>
    <t>Debe</t>
  </si>
  <si>
    <t>Haber</t>
  </si>
  <si>
    <t>-</t>
  </si>
  <si>
    <t>Glosa:</t>
  </si>
  <si>
    <t>Detalle Efectivo y equivalentes del Efectivo</t>
  </si>
  <si>
    <t>Monto</t>
  </si>
  <si>
    <t>(a) Desglosé Caja Moneda Extranjera</t>
  </si>
  <si>
    <t>Cantidades</t>
  </si>
  <si>
    <t>(b) Desglosé Banco Chile moneda Extranjera</t>
  </si>
  <si>
    <t>c) Depósitos a plazo 30 días</t>
  </si>
  <si>
    <t>Depósitos a Plazo</t>
  </si>
  <si>
    <t>Tomado</t>
  </si>
  <si>
    <t>interés anual</t>
  </si>
  <si>
    <t>Banco BCI 30 días</t>
  </si>
  <si>
    <t>Banco Santander 30 días</t>
  </si>
  <si>
    <t>Tasa Mensual</t>
  </si>
  <si>
    <t>=</t>
  </si>
  <si>
    <t>((1+i)^(1/12))-1</t>
  </si>
  <si>
    <t>Se multiplia el valor del fondo por tasa interes mensual, despues se divide en 30</t>
  </si>
  <si>
    <t>Días Devengados</t>
  </si>
  <si>
    <t>Valor mensual</t>
  </si>
  <si>
    <t>Valor devengado</t>
  </si>
  <si>
    <t>el valor corresponde a los días que se devengan</t>
  </si>
  <si>
    <t>Comparo el día que se tomo el deposito contra el 30.12</t>
  </si>
  <si>
    <t xml:space="preserve">Total </t>
  </si>
  <si>
    <t>Vida Útil</t>
  </si>
  <si>
    <t>Neto</t>
  </si>
  <si>
    <t>Utilizada</t>
  </si>
  <si>
    <t>(meses)</t>
  </si>
  <si>
    <t>Acumulada</t>
  </si>
  <si>
    <t>Vehículos</t>
  </si>
  <si>
    <t>Escritorios</t>
  </si>
  <si>
    <t>Sillas</t>
  </si>
  <si>
    <t>Rectificadora de luz</t>
  </si>
  <si>
    <t>Máquinas y Equipos</t>
  </si>
  <si>
    <t>Maquinarias</t>
  </si>
  <si>
    <t>Valor</t>
  </si>
  <si>
    <t>Valor Residual</t>
  </si>
  <si>
    <t>Tasado</t>
  </si>
  <si>
    <t>Vehículos Terrestres</t>
  </si>
  <si>
    <t>Estantes</t>
  </si>
  <si>
    <t>Al efectuar la revisión se encontraron activos que no aparecían en la contabilidad, el cual se decidió contabilizar a su valor de adquisición, según las facturas encontradas.</t>
  </si>
  <si>
    <t xml:space="preserve">La maquinaria contiene 3 componentes, el cual se detallan a continuación: </t>
  </si>
  <si>
    <t>Maquina Transportadora</t>
  </si>
  <si>
    <t>Maquina Cortadora</t>
  </si>
  <si>
    <t>Maquina Recolectora</t>
  </si>
  <si>
    <t>N°</t>
  </si>
  <si>
    <t>Cuota</t>
  </si>
  <si>
    <t>Interes</t>
  </si>
  <si>
    <t>Amort</t>
  </si>
  <si>
    <t>Capital</t>
  </si>
  <si>
    <t>Maquina en arrendamiento financiero</t>
  </si>
  <si>
    <t xml:space="preserve">o    Duración 96 meses </t>
  </si>
  <si>
    <t>TM</t>
  </si>
  <si>
    <t xml:space="preserve">o    Corrección monetaria de un 3,5% </t>
  </si>
  <si>
    <t>VA</t>
  </si>
  <si>
    <t>Cuota Inicial</t>
  </si>
  <si>
    <t>+</t>
  </si>
  <si>
    <t>x</t>
  </si>
  <si>
    <t>((1+i)^n)-1</t>
  </si>
  <si>
    <t>Opción de Compra</t>
  </si>
  <si>
    <t>(i)((1+i)^n)</t>
  </si>
  <si>
    <t>(1+i)^n+1</t>
  </si>
  <si>
    <t>Valor Descontado</t>
  </si>
  <si>
    <t>Glosa:Contrato de Leasing</t>
  </si>
  <si>
    <t>Inversiones  para negociar</t>
  </si>
  <si>
    <t>Inversión</t>
  </si>
  <si>
    <t>Comisiones</t>
  </si>
  <si>
    <t xml:space="preserve">Costo Adquisición </t>
  </si>
  <si>
    <t>Valor Bolsa de Valores 31.12</t>
  </si>
  <si>
    <t>hoja trabajo</t>
  </si>
  <si>
    <t>Inversiones</t>
  </si>
  <si>
    <t>Inversiones disponibles para la venta</t>
  </si>
  <si>
    <t>Flujo monetario</t>
  </si>
  <si>
    <t>Solo un contrato</t>
  </si>
  <si>
    <t>no hay flujos ni pagos</t>
  </si>
  <si>
    <t>con banco santander</t>
  </si>
  <si>
    <t>2- El banco transfiere USD 1.000.000</t>
  </si>
  <si>
    <t>Pactado</t>
  </si>
  <si>
    <t>Valor Futur0</t>
  </si>
  <si>
    <t>Diferencial</t>
  </si>
  <si>
    <t>Valor Forward</t>
  </si>
  <si>
    <t>Hoja de trabajo</t>
  </si>
  <si>
    <t>Forward</t>
  </si>
  <si>
    <t>Enero</t>
  </si>
  <si>
    <t>Febrero</t>
  </si>
  <si>
    <t>Marzo</t>
  </si>
  <si>
    <t>Abril</t>
  </si>
  <si>
    <t>S.D.</t>
  </si>
  <si>
    <t>Glosa:contrato opción 1</t>
  </si>
  <si>
    <t>Glosa:Liquidación opción 2</t>
  </si>
  <si>
    <t>Detalle de Clientes</t>
  </si>
  <si>
    <t>Vcto</t>
  </si>
  <si>
    <t>ID</t>
  </si>
  <si>
    <t>Saldo al 31.12.2021</t>
  </si>
  <si>
    <t>Total 2021</t>
  </si>
  <si>
    <t>Matriz de Riesgo</t>
  </si>
  <si>
    <t xml:space="preserve">Tasa de Recuperación </t>
  </si>
  <si>
    <t>Detalle de Inventarios</t>
  </si>
  <si>
    <t>Valor Balance</t>
  </si>
  <si>
    <t>Artículo A</t>
  </si>
  <si>
    <t>UNIDADES</t>
  </si>
  <si>
    <t>PRECIO</t>
  </si>
  <si>
    <t>VALORES</t>
  </si>
  <si>
    <t>METODO</t>
  </si>
  <si>
    <t>ENTRADA</t>
  </si>
  <si>
    <t>SALIDA</t>
  </si>
  <si>
    <t>SALDO</t>
  </si>
  <si>
    <t>COMPRA</t>
  </si>
  <si>
    <t>PMP</t>
  </si>
  <si>
    <t>Año anterior</t>
  </si>
  <si>
    <t>Venta 15.04</t>
  </si>
  <si>
    <t>Compra 30.05</t>
  </si>
  <si>
    <t>Venta 01.06</t>
  </si>
  <si>
    <t>Compra 16.08</t>
  </si>
  <si>
    <t>Venta 17.09</t>
  </si>
  <si>
    <t>Artículo B</t>
  </si>
  <si>
    <t>Artículo C</t>
  </si>
  <si>
    <t>Artículo</t>
  </si>
  <si>
    <t>Compra</t>
  </si>
  <si>
    <t>VIPC</t>
  </si>
  <si>
    <t>Unidades</t>
  </si>
  <si>
    <t>Observaciones</t>
  </si>
  <si>
    <t>Más Alta</t>
  </si>
  <si>
    <t>A</t>
  </si>
  <si>
    <t>Ultima compra 2do semestre.</t>
  </si>
  <si>
    <t>B</t>
  </si>
  <si>
    <t>Ultima compra 1er semestre, se aplica VIPC 2do semestre</t>
  </si>
  <si>
    <t>C</t>
  </si>
  <si>
    <t>No hay compras en el año, se aplica VIPC anual</t>
  </si>
  <si>
    <t>Valor Contable</t>
  </si>
  <si>
    <t>CM</t>
  </si>
  <si>
    <t>Valor NIIF</t>
  </si>
  <si>
    <t>a</t>
  </si>
  <si>
    <t>b</t>
  </si>
  <si>
    <t>c</t>
  </si>
  <si>
    <t>La Sección 13 y NIC 2 exige la aplicación de la antigua regla de la medición al costo o al valor neto realizable, según cual sea menor. El valor neto realizable (VNR) es el precio estimado de venta de un activo en el curso normal de la operación menos los costos estimados para terminar su producción y para llevar a cabo la venta.</t>
  </si>
  <si>
    <t>Montos</t>
  </si>
  <si>
    <t>Existencias de Materias Primas (BCE)</t>
  </si>
  <si>
    <t>Costos Indirectos de Fabricación</t>
  </si>
  <si>
    <t>Valor Neto Realizable</t>
  </si>
  <si>
    <t>Valor Final</t>
  </si>
  <si>
    <t>VNR</t>
  </si>
  <si>
    <t>Los activos biológicos se miden en la fecha de cierre de cada período de presentación de la información a sus valores razonables menos los costos en el punto de venta.</t>
  </si>
  <si>
    <t>Valor Razonable</t>
  </si>
  <si>
    <t>Costos Necesarios para su Venta</t>
  </si>
  <si>
    <t>Activos Biologicos</t>
  </si>
  <si>
    <t>Detalle Inversión en Asociadas y Negocios Conjuntos</t>
  </si>
  <si>
    <t>Directores totales</t>
  </si>
  <si>
    <t xml:space="preserve">Directores empresa </t>
  </si>
  <si>
    <t>Pago Inversión</t>
  </si>
  <si>
    <t>B&amp;N</t>
  </si>
  <si>
    <t>Resultados Acumulados</t>
  </si>
  <si>
    <t>Utilidad del Ejercicio</t>
  </si>
  <si>
    <t>Detalle Provisiones</t>
  </si>
  <si>
    <t>Provisiones</t>
  </si>
  <si>
    <t>10.b) Fiscalía del Colegio de Contadores de Chile A.G., maneja la información de los juicios entablados en su contra, el cual nos fue proporcionado, y en base a dichos antecedentes procedimos a detallar en conjunto con fiscalía la probabilidad de ocurrencia de que dichos juicios se transforman en una obligación cierta.  El detalle de los juicios mantenidos por la entidad son los siguientes:</t>
  </si>
  <si>
    <t>Origen</t>
  </si>
  <si>
    <t xml:space="preserve">Nombre </t>
  </si>
  <si>
    <t>Probabilidad</t>
  </si>
  <si>
    <t>Ocurrencia</t>
  </si>
  <si>
    <t>Indemnización por accidente</t>
  </si>
  <si>
    <t>Edgardo</t>
  </si>
  <si>
    <t>Indemnización de perjuicios</t>
  </si>
  <si>
    <t>Amalia</t>
  </si>
  <si>
    <t>Reclamo multa</t>
  </si>
  <si>
    <t>ByN</t>
  </si>
  <si>
    <t>accidente</t>
  </si>
  <si>
    <t>Filgueira</t>
  </si>
  <si>
    <t>Despido injustificado</t>
  </si>
  <si>
    <t>Ramos</t>
  </si>
  <si>
    <t>Eduardo</t>
  </si>
  <si>
    <t>Ester</t>
  </si>
  <si>
    <t>Indemnización por años de servicios</t>
  </si>
  <si>
    <t>Evangelina</t>
  </si>
  <si>
    <t>Fidelina</t>
  </si>
  <si>
    <t>Boudon</t>
  </si>
  <si>
    <t>Guillermo</t>
  </si>
  <si>
    <t xml:space="preserve">Jorge </t>
  </si>
  <si>
    <t>María Belén</t>
  </si>
  <si>
    <t>Juan</t>
  </si>
  <si>
    <t>Despido Injustificado</t>
  </si>
  <si>
    <t>Flores</t>
  </si>
  <si>
    <t>Marco</t>
  </si>
  <si>
    <t>Araya</t>
  </si>
  <si>
    <t>Moreno</t>
  </si>
  <si>
    <t>Nidia</t>
  </si>
  <si>
    <t>Pablo</t>
  </si>
  <si>
    <t>Patricia</t>
  </si>
  <si>
    <t>Acción reivindicatoria</t>
  </si>
  <si>
    <t>Rita</t>
  </si>
  <si>
    <t>Zagal</t>
  </si>
  <si>
    <t>Atalaya</t>
  </si>
  <si>
    <t>Costas y Reajustes juicios</t>
  </si>
  <si>
    <t>Detalle aplicación NIC 37</t>
  </si>
  <si>
    <t>Provisión</t>
  </si>
  <si>
    <t>Revela</t>
  </si>
  <si>
    <t>Fallas</t>
  </si>
  <si>
    <t>Mayores</t>
  </si>
  <si>
    <t>Menores</t>
  </si>
  <si>
    <t>Defectos</t>
  </si>
  <si>
    <t>10.d) El colegio de contadores de Chile A.G., provisiona una multa medio ambiental que es exigida pagar por ley cada año.</t>
  </si>
  <si>
    <t>Amortización</t>
  </si>
  <si>
    <t>Intangibles</t>
  </si>
  <si>
    <t>Contratos Chillán</t>
  </si>
  <si>
    <t>Derechos de agua</t>
  </si>
  <si>
    <t>Río Maule</t>
  </si>
  <si>
    <t>Adquisición</t>
  </si>
  <si>
    <t>Financiera</t>
  </si>
  <si>
    <t>15101 Programas y Licencias Computacionales</t>
  </si>
  <si>
    <t>Indefinida</t>
  </si>
  <si>
    <t>Marca</t>
  </si>
  <si>
    <t>evaluar</t>
  </si>
  <si>
    <t>Diferencias</t>
  </si>
  <si>
    <t>F</t>
  </si>
  <si>
    <t>T</t>
  </si>
  <si>
    <t>Genera</t>
  </si>
  <si>
    <t>&gt;</t>
  </si>
  <si>
    <t>P</t>
  </si>
  <si>
    <t>&lt;</t>
  </si>
  <si>
    <t>N</t>
  </si>
  <si>
    <t>AÑOS</t>
  </si>
  <si>
    <t>i</t>
  </si>
  <si>
    <t>Tasa de Impuesto vigente</t>
  </si>
  <si>
    <t>X</t>
  </si>
  <si>
    <t>i(1+i)^n</t>
  </si>
  <si>
    <t>CONTACH</t>
  </si>
  <si>
    <t>77.777.777-7</t>
  </si>
  <si>
    <t>INFORMACION A REVELAR RESPECTO DE DIVIDENDOS O RETIROS</t>
  </si>
  <si>
    <t>Nombre</t>
  </si>
  <si>
    <t>Cuentas por cobrar clientes</t>
  </si>
  <si>
    <t>Prestamo trabajadores</t>
  </si>
  <si>
    <t>Anticipo Clientes</t>
  </si>
  <si>
    <t>Garantías otorgadas</t>
  </si>
  <si>
    <t>Productos terminados</t>
  </si>
  <si>
    <t>Existencias de Materias Primas</t>
  </si>
  <si>
    <t>Existencias de Productos Elaborados</t>
  </si>
  <si>
    <t>Detalle Conciliación Patrimonio</t>
  </si>
  <si>
    <t>Patrimonio PCGA</t>
  </si>
  <si>
    <t>Patrimonio NIIF</t>
  </si>
  <si>
    <t>Utilidad Financiera</t>
  </si>
  <si>
    <t>Detalle Conciliación Resultado</t>
  </si>
  <si>
    <t xml:space="preserve">Cuantía al </t>
  </si>
  <si>
    <t>Materialidad</t>
  </si>
  <si>
    <t>Limite de Error Tolerable</t>
  </si>
  <si>
    <t>Umbral de Error</t>
  </si>
  <si>
    <t>Control de ajuste</t>
  </si>
  <si>
    <t>15.12</t>
  </si>
  <si>
    <t>31.12</t>
  </si>
  <si>
    <t>10.12</t>
  </si>
  <si>
    <t>Riesgo de tipo de cambio</t>
  </si>
  <si>
    <t>30.11</t>
  </si>
  <si>
    <t>inventario</t>
  </si>
  <si>
    <t>Utilidad antes de Impuesto</t>
  </si>
  <si>
    <t>Utilidad PCGA</t>
  </si>
  <si>
    <t>Aumento Patrimonio</t>
  </si>
  <si>
    <t>control</t>
  </si>
  <si>
    <t>Total Patrimonio</t>
  </si>
  <si>
    <t xml:space="preserve">Glosa: </t>
  </si>
  <si>
    <t xml:space="preserve">o    96 cuotas de 130 UF </t>
  </si>
  <si>
    <t>o    Opción de compra 90 UF</t>
  </si>
  <si>
    <r>
      <t>10.c) El Colegio de Contadores de Chile A.G., vende productos con garantía, l</t>
    </r>
    <r>
      <rPr>
        <sz val="11"/>
        <color rgb="FFFF0000"/>
        <rFont val="Georgia"/>
        <family val="1"/>
      </rPr>
      <t>as ventas del año fueron 90.000</t>
    </r>
    <r>
      <rPr>
        <sz val="11"/>
        <color theme="1"/>
        <rFont val="Georgia"/>
        <family val="1"/>
      </rPr>
      <t xml:space="preserve"> unidades, con un precio de venta de $150.000, cada falla mayor del producto tiene un costo de $</t>
    </r>
    <r>
      <rPr>
        <sz val="11"/>
        <color rgb="FFFF0000"/>
        <rFont val="Georgia"/>
        <family val="1"/>
      </rPr>
      <t>35.000</t>
    </r>
    <r>
      <rPr>
        <sz val="11"/>
        <color theme="1"/>
        <rFont val="Georgia"/>
        <family val="1"/>
      </rPr>
      <t xml:space="preserve"> y cada falla menor tiene un costo de $10</t>
    </r>
    <r>
      <rPr>
        <sz val="11"/>
        <color rgb="FFFF0000"/>
        <rFont val="Georgia"/>
        <family val="1"/>
      </rPr>
      <t>.000</t>
    </r>
    <r>
      <rPr>
        <sz val="11"/>
        <color theme="1"/>
        <rFont val="Georgia"/>
        <family val="1"/>
      </rPr>
      <t>, la probabilidad de ocurrencia es la siguiente:</t>
    </r>
  </si>
  <si>
    <t>31.12.2022</t>
  </si>
  <si>
    <t xml:space="preserve">El Colegio de Contadores de Chile a sus trabajadores les concede préstamos por cambio de residencia, donde se estipula un plazo de pago de 3 años después de efectuado el cambio, a continuación, se detalla cuando se debe comenzar a pagar según la indagación con la administración </t>
  </si>
  <si>
    <t>Comienzo de Pago</t>
  </si>
  <si>
    <t>Flujo 1</t>
  </si>
  <si>
    <t>Flujo 2</t>
  </si>
  <si>
    <t>Flujo 3</t>
  </si>
  <si>
    <t>Flujo 4</t>
  </si>
  <si>
    <t>Flujo 5</t>
  </si>
  <si>
    <t>Flujo 6</t>
  </si>
  <si>
    <t>Javiera Alicia</t>
  </si>
  <si>
    <t>Julieta Ignacia</t>
  </si>
  <si>
    <t>Paulina Alejandra</t>
  </si>
  <si>
    <t>Juan Carlos</t>
  </si>
  <si>
    <t>Ana Luisa</t>
  </si>
  <si>
    <t>Maximiliano Andrés</t>
  </si>
  <si>
    <t>Josefina Ignacia</t>
  </si>
  <si>
    <t>Carlos Andrés</t>
  </si>
  <si>
    <t>Enson Daniel</t>
  </si>
  <si>
    <t>Flujo</t>
  </si>
  <si>
    <t>Valor Actual</t>
  </si>
  <si>
    <t xml:space="preserve">1-1-09-003 Préstamos por Cambio de Residencia </t>
  </si>
  <si>
    <t xml:space="preserve">o    Vida Útil de 15 años </t>
  </si>
  <si>
    <t>Total Santiago</t>
  </si>
  <si>
    <t>Total Otras Maquinas</t>
  </si>
  <si>
    <t xml:space="preserve">RLI </t>
  </si>
  <si>
    <t>Crédito</t>
  </si>
  <si>
    <t>Sin Crédito</t>
  </si>
  <si>
    <t>Year End: 31 de diciembre de 2022</t>
  </si>
  <si>
    <t>31.12.2023</t>
  </si>
  <si>
    <t>30.06.2023</t>
  </si>
  <si>
    <t>Saldo al 31.12.2023</t>
  </si>
  <si>
    <t>Saldo al 31.12.2022</t>
  </si>
  <si>
    <t>Total 2022</t>
  </si>
  <si>
    <t>Total 2023</t>
  </si>
  <si>
    <t>Aurora Monserrat</t>
  </si>
  <si>
    <t>Saldo inicial período actual 01/01/2023</t>
  </si>
  <si>
    <t>Saldo final período actual 31/12/2023</t>
  </si>
  <si>
    <t>Saldo inicial período actual 01/01/2024</t>
  </si>
  <si>
    <t>Saldo final período actual 31/12/2024</t>
  </si>
  <si>
    <t>Saldos al 1 de enero 2023</t>
  </si>
  <si>
    <t>Saldos al 1 de enero 2024</t>
  </si>
  <si>
    <t>Saldo bruto al  31/12/2024</t>
  </si>
  <si>
    <t>Saldo al 01/01/2023</t>
  </si>
  <si>
    <t>Saldo al 31/12/2023</t>
  </si>
  <si>
    <t>Saldo al 01/01/2024</t>
  </si>
  <si>
    <t>CONTROL DEPRECIACION 31/12/2023</t>
  </si>
  <si>
    <t>CONTROL DEPRECIACION 31/12/2024</t>
  </si>
  <si>
    <t>Al 31 de diciembre de 2023</t>
  </si>
  <si>
    <t>Al 31 de diciembre de 2024</t>
  </si>
  <si>
    <t>Gastos por Arriendos</t>
  </si>
  <si>
    <t>Arriendo Operativo Full NIIF</t>
  </si>
  <si>
    <t>Arriendo por 10 años</t>
  </si>
  <si>
    <t>May</t>
  </si>
  <si>
    <t>Pago comisión agente</t>
  </si>
  <si>
    <t>Jun</t>
  </si>
  <si>
    <t>Valor Arriendo</t>
  </si>
  <si>
    <t>Jul</t>
  </si>
  <si>
    <t>no hay</t>
  </si>
  <si>
    <t>Ago</t>
  </si>
  <si>
    <t>Vida Útil oficina</t>
  </si>
  <si>
    <t>años</t>
  </si>
  <si>
    <t>Sept</t>
  </si>
  <si>
    <t>Tasa de Interes anual</t>
  </si>
  <si>
    <t>Oct</t>
  </si>
  <si>
    <t>Nov</t>
  </si>
  <si>
    <t>Dic</t>
  </si>
  <si>
    <t>Para arriendos superior a 5.000 dólares</t>
  </si>
  <si>
    <t>anual</t>
  </si>
  <si>
    <t>Valor descontado</t>
  </si>
  <si>
    <t>Cuotas</t>
  </si>
  <si>
    <t>(i)(1+i)^n</t>
  </si>
  <si>
    <t>(1+i)^(n+1)</t>
  </si>
  <si>
    <t>Arriendo por 15 años</t>
  </si>
  <si>
    <t>Arriendo por 2 años Impresoras</t>
  </si>
  <si>
    <t>Gastos por Arriendo Impresora</t>
  </si>
  <si>
    <t>30-02-2021</t>
  </si>
  <si>
    <t>PPM</t>
  </si>
  <si>
    <t>F29</t>
  </si>
  <si>
    <t>ENERO</t>
  </si>
  <si>
    <t>FEBRERO</t>
  </si>
  <si>
    <t>MARZO</t>
  </si>
  <si>
    <t>ABRIL</t>
  </si>
  <si>
    <t>MAYO</t>
  </si>
  <si>
    <t>JUNIO</t>
  </si>
  <si>
    <t>JULIO</t>
  </si>
  <si>
    <t>AGOSTO</t>
  </si>
  <si>
    <t>SEPTIEMBRE</t>
  </si>
  <si>
    <t>OCTUBRE</t>
  </si>
  <si>
    <t>NOVIEMBRE</t>
  </si>
  <si>
    <t>DICIEMBRE</t>
  </si>
  <si>
    <t>Valor Actualizado</t>
  </si>
  <si>
    <t>Ene</t>
  </si>
  <si>
    <t>Feb</t>
  </si>
  <si>
    <t>Mar</t>
  </si>
  <si>
    <t>Abr</t>
  </si>
  <si>
    <t>Sep</t>
  </si>
  <si>
    <t>Capital Inicial</t>
  </si>
  <si>
    <t>Mayo</t>
  </si>
  <si>
    <t>Junio</t>
  </si>
  <si>
    <t>Julio</t>
  </si>
  <si>
    <t>Sin Pago Cuota de Diciembre</t>
  </si>
  <si>
    <t>Av Quatro esquina 690, La Serena</t>
  </si>
  <si>
    <t>Total La Serena</t>
  </si>
  <si>
    <t>Almirante Barroso 10, Santiago</t>
  </si>
  <si>
    <t>Errázuriz 2312, Valparaíso</t>
  </si>
  <si>
    <t>Total Valparaíso</t>
  </si>
  <si>
    <t>Jorge Washington 2675, Antofagasta</t>
  </si>
  <si>
    <t>Vega de Saldías 722, Chillán</t>
  </si>
  <si>
    <t>Total Chillán</t>
  </si>
  <si>
    <t>Walter Schmidt 425, Valdivia</t>
  </si>
  <si>
    <t>Total Valdivia</t>
  </si>
  <si>
    <t>Total Antofagasta</t>
  </si>
  <si>
    <t xml:space="preserve">1-1-01-001 Caja </t>
  </si>
  <si>
    <t>1-1-04-003 Cuotas de Fondos Mutuos  180 días</t>
  </si>
  <si>
    <t xml:space="preserve">1-1-09-001 Cuentas por Cobrar </t>
  </si>
  <si>
    <t xml:space="preserve">1-1-12-001 Productos Terminados </t>
  </si>
  <si>
    <t xml:space="preserve">1-1-12-002 Existencias de Materias Primas </t>
  </si>
  <si>
    <t xml:space="preserve">1-1-12-003 Existencia de Productos Elaborados </t>
  </si>
  <si>
    <t xml:space="preserve">1-2-10-001 Maquinarias y Equipos </t>
  </si>
  <si>
    <t xml:space="preserve">1-2-10-003 Vehículos </t>
  </si>
  <si>
    <t xml:space="preserve">1-2-10-009 Dep. Acum. de Maquinarias y Equipos </t>
  </si>
  <si>
    <t xml:space="preserve">1-2-10-010 Dep. Acum. de Vehículos </t>
  </si>
  <si>
    <t xml:space="preserve">2-1-03-003 Provisión Gastos de luz, agua y telefono </t>
  </si>
  <si>
    <t>2-1-03-006 PPM por Pagar</t>
  </si>
  <si>
    <t xml:space="preserve">2-1-05-002 Provision por Juicios </t>
  </si>
  <si>
    <t xml:space="preserve">2-3-01-001 Capital </t>
  </si>
  <si>
    <t xml:space="preserve">4-1-02-003 Colación </t>
  </si>
  <si>
    <t>4-1-03-002 Gastos por Arriendos</t>
  </si>
  <si>
    <t>4-1-03-004 Gastos Arriendo Impresora</t>
  </si>
  <si>
    <t xml:space="preserve">4-1-12-004 Diferencia de Cambio </t>
  </si>
  <si>
    <t>1-2-01-001 Empresa Relacionada FC</t>
  </si>
  <si>
    <t>1-2-01-002 Empresa Relacionada B&amp;N</t>
  </si>
  <si>
    <t>FC</t>
  </si>
  <si>
    <t>Falabella</t>
  </si>
  <si>
    <t>CasaIdeas</t>
  </si>
  <si>
    <t>Paris</t>
  </si>
  <si>
    <t>Lun</t>
  </si>
  <si>
    <t>Roma</t>
  </si>
  <si>
    <t>1-2-01-003 Empresa Relacionada CasaIdeas</t>
  </si>
  <si>
    <t>1-2-01-004 Empresa Relacionada Falabella</t>
  </si>
  <si>
    <t>1-2-01-005 Empresa Relacionada Paris</t>
  </si>
  <si>
    <t>1-2-01-006 Empresa Relacionada Lun</t>
  </si>
  <si>
    <t>1-2-01-007 Empresa Relacionada Roma</t>
  </si>
  <si>
    <t>10.e) La sociedad arrienda una oficina en providencia y la oficina que tienen arrendada en Santiago no la ocupara, queda un contrato de 3 años con un canon de arriendo mensual de $ 700.000, se decide mantener hasta el vencimiento.</t>
  </si>
  <si>
    <t xml:space="preserve">Balance </t>
  </si>
  <si>
    <t>1-1-04-004 Acciones Lan</t>
  </si>
  <si>
    <t>1-1-04-005 Acciones Tesla</t>
  </si>
  <si>
    <t>1-1-04-006 Acciones Bitcoin</t>
  </si>
  <si>
    <t>1-1-04-007 Acciones Cardano</t>
  </si>
  <si>
    <t>5. 13.10.80   Activos por derechos de Uso</t>
  </si>
  <si>
    <t>Real</t>
  </si>
  <si>
    <t>Se mantiene</t>
  </si>
  <si>
    <t>Vida Útil impresora</t>
  </si>
  <si>
    <t>meses</t>
  </si>
  <si>
    <t>Auditoría</t>
  </si>
  <si>
    <t>Balance</t>
  </si>
  <si>
    <t>A1</t>
  </si>
  <si>
    <t>Preparado por:</t>
  </si>
  <si>
    <t>Fecha:</t>
  </si>
  <si>
    <t>Cálculo de Materialidad</t>
  </si>
  <si>
    <t>Revisado por:</t>
  </si>
  <si>
    <r>
      <t xml:space="preserve">i.	Objetivos
</t>
    </r>
    <r>
      <rPr>
        <sz val="12"/>
        <color theme="1"/>
        <rFont val="Georgia"/>
        <family val="1"/>
      </rPr>
      <t xml:space="preserve">Definir los niveles de materialidad para efectos de planificación de nuestra auditoria a los estados financieros.
La Materialidad o Importancia relativa de acuerdo a la Sección 320 de la NIA, se define como la magnitud de una omisión o error en la información contable que, a la luz de las circunstancias presentes, hace probable que el criterio de una persona razonable que confíe en la información podría cambiar o verse influido por esa omisión o error.  Los errores de montos relativamente pequeños detectados por el auditor pueden tener un efecto significativo sobre los estados financieros. </t>
    </r>
  </si>
  <si>
    <r>
      <rPr>
        <b/>
        <sz val="12"/>
        <color theme="1"/>
        <rFont val="Georgia"/>
        <family val="1"/>
      </rPr>
      <t>ii.	Determinación de la materialidad para efectos de planificación (MP)</t>
    </r>
    <r>
      <rPr>
        <sz val="12"/>
        <color theme="1"/>
        <rFont val="Georgia"/>
        <family val="1"/>
      </rPr>
      <t xml:space="preserve">
Los niveles de materialidad para efectos de planificación pueden ser definidos de dos maneras que a continuación detallamos:</t>
    </r>
  </si>
  <si>
    <r>
      <rPr>
        <b/>
        <sz val="12"/>
        <color theme="1"/>
        <rFont val="Georgia"/>
        <family val="1"/>
      </rPr>
      <t>iii.	Límites de error tolerable (LET)</t>
    </r>
    <r>
      <rPr>
        <sz val="12"/>
        <color theme="1"/>
        <rFont val="Georgia"/>
        <family val="1"/>
      </rPr>
      <t xml:space="preserve">
La materialidad para efectos de planeación se determina con respecto a los estados financieros. La mayoría de los procedimientos de auditoría no aplica a los estados financieros tomados en conjunto; por lo tanto, asignamos la importancia relativa para efectos de planeación a las clases de transacciones, los saldos de cuentas y las revelaciones cuando planeamos y efectuamos los procedimientos de auditoría. En nuestra auditoría, definimos la importancia relativa para efectos de planeación asignada a las clases de transacciones, los saldos de cuentas y las revelaciones como el "límite de error e irregularidad significativo".
Usamos la importancia relativa para efectos de planeación como punto de partida para determinar el límite de error tolerable.
</t>
    </r>
    <r>
      <rPr>
        <b/>
        <sz val="12"/>
        <color theme="1"/>
        <rFont val="Georgia"/>
        <family val="1"/>
      </rPr>
      <t>El cálculo del límite de error tolerable será un 75% de la materialidad para efectos de planificación</t>
    </r>
  </si>
  <si>
    <t>Total Activo</t>
  </si>
  <si>
    <t>Total de Ingreso</t>
  </si>
  <si>
    <t>Explicación de la decisión en la determinación de la Materialidad</t>
  </si>
  <si>
    <t>Aprobación</t>
  </si>
  <si>
    <t>Socio a Cargo</t>
  </si>
  <si>
    <t>Gerente a Cargo</t>
  </si>
  <si>
    <t>Auditor a Cargo</t>
  </si>
  <si>
    <t>Cuentas seleccionadas</t>
  </si>
  <si>
    <t>LET   $</t>
  </si>
  <si>
    <t>MONTO</t>
  </si>
  <si>
    <t>e )</t>
  </si>
  <si>
    <t>f)</t>
  </si>
  <si>
    <t>g)</t>
  </si>
  <si>
    <t>h)</t>
  </si>
  <si>
    <t>i)</t>
  </si>
  <si>
    <t>j)</t>
  </si>
  <si>
    <t>k)</t>
  </si>
  <si>
    <t>l)</t>
  </si>
  <si>
    <t>m)</t>
  </si>
  <si>
    <t>n)</t>
  </si>
  <si>
    <t>o)</t>
  </si>
  <si>
    <t>RIESGO</t>
  </si>
  <si>
    <t>ENFOQUE</t>
  </si>
  <si>
    <t>RUBRO</t>
  </si>
  <si>
    <t>CODIGO</t>
  </si>
  <si>
    <t>NOMBRE CUENTA</t>
  </si>
  <si>
    <t>$</t>
  </si>
  <si>
    <t>INHERENTE</t>
  </si>
  <si>
    <t>(CUMPLIMIENTO O SUSTANTIVO)</t>
  </si>
  <si>
    <t>Descripción de descisión:</t>
  </si>
  <si>
    <t>e) El tamaño y la composición del saldo de cuenta</t>
  </si>
  <si>
    <t>f)  La susceptibilidad a pérdida debido a error o fraude</t>
  </si>
  <si>
    <t>g) El volumen de actividad, complejidad y homogeneidad de las transacciones individuales procesadas a través de la cuenta</t>
  </si>
  <si>
    <t>h) La exposición a pérdidas u obligaciones no reconocidas que representa el saldo de cuenta</t>
  </si>
  <si>
    <t>i)  La probabilidad (o posibilidad) de que surjan pasivos contingentes significativos de las actividades que representa el saldo de cuenta</t>
  </si>
  <si>
    <t>j)  Los cambios desde el período anterior en las características de la cuenta</t>
  </si>
  <si>
    <t>k) Las complejidades de contabilidad y de emisión de informes relacionadas con el saldo de cuenta</t>
  </si>
  <si>
    <t>l)  La existencia de transacciones entre entes relacionados en el saldo de cuenta y</t>
  </si>
  <si>
    <t>m) La naturaleza del saldo de cuenta</t>
  </si>
  <si>
    <t>n) Sumatoria de partidas marcadas con “1”</t>
  </si>
  <si>
    <t>o) Partidas a revisar.</t>
  </si>
  <si>
    <t>Los procedimientos sustantivos incluyen la selección de un saldo contable o una muestra representativa de transacciones para:</t>
  </si>
  <si>
    <t>Recalcular los montos registrados para verificar su exactitud.</t>
  </si>
  <si>
    <t>Confirmar la existencia de saldos (cuentas por cobrar, cuentas de bancos, inversiones).</t>
  </si>
  <si>
    <t>Verificar que las transacciones se hayan registrado en el periodo correcto (pruebas de corte).</t>
  </si>
  <si>
    <t>Comparar los montos con las expectativas o los montos entre periodos.</t>
  </si>
  <si>
    <t>Inspeccionar la documentación de soporte, como facturas o contratos de ventas.</t>
  </si>
  <si>
    <t>Observar la existencia física de activos registrados (conteos de inventarios).</t>
  </si>
  <si>
    <t>Revisar que las reservas destinadas para pérdidas de valor sean las apropiadas (cuentas dudosas e inventario obsoleto).</t>
  </si>
  <si>
    <t>Los procedimientos de Cumplimiento o Control:</t>
  </si>
  <si>
    <t>Las pruebas de cumplimiento consisten en recolectar evidencia con el propósito de probar el cumplimiento de una organización con procedimientos de control. Esto difiere de la prueba sustantiva, en la que la evidencia se recoge para evaluar la integridad de transacciones individuales, datos u otra información</t>
  </si>
  <si>
    <t>Algunos ejemplos de pruebas de cumplimiento de controles en las cuales se podrían considerar las muestras incluyen derechos de acceso de usuarios, procedimientos de control de cambio de programas, procedimientos de documentación, documentación de programas, excepciones de seguimiento, revisión de registros.</t>
  </si>
  <si>
    <t>Ajustes Iniciales de auditoría NIIF</t>
  </si>
  <si>
    <t>Observación</t>
  </si>
  <si>
    <t>Diferencia</t>
  </si>
  <si>
    <t>La diferencia de 15.000.000 se encuentra en el Banco Estado</t>
  </si>
  <si>
    <t>Ajustar con la caja</t>
  </si>
  <si>
    <t>Diferencia gasto por  4-1-03-003 Servicios Básicos</t>
  </si>
  <si>
    <t>La diferencia de 25.000.000 corresponde al pago de la linea de crédito no registrada</t>
  </si>
  <si>
    <t>se debe registrar gasto por 4-1-10-001 Intereses Pagados por Préstamos</t>
  </si>
  <si>
    <t>Diferencia corresponde gasto por  4-1-02-004 Movilización no registrado</t>
  </si>
  <si>
    <t>Diferencia de años anteriores ajustar contra resultado acumulado</t>
  </si>
  <si>
    <t>Diferencia corresponde gasto por  4-1-02-006 Vacaciones</t>
  </si>
  <si>
    <t>Ajuste años amteriores</t>
  </si>
  <si>
    <t>K1</t>
  </si>
  <si>
    <t>Programa de Trabajo
Propiedades, Plantas y Equipos</t>
  </si>
  <si>
    <t>I.	Propósito</t>
  </si>
  <si>
    <r>
      <t xml:space="preserve">El propósito de este programa de auditoria es agrupar las aseveraciones de los estados financieros con los objetivos de auditoría y las aseveraciones de los estados financieros y vincular la evaluación de los riesgos de que ocurran errores e irregularidades significativos (REIS) con los procedimientos planeados para la auditoría.
</t>
    </r>
    <r>
      <rPr>
        <b/>
        <sz val="12"/>
        <color theme="1"/>
        <rFont val="Georgia"/>
        <family val="1"/>
      </rPr>
      <t>Este programa de trabajo debe incluir:</t>
    </r>
    <r>
      <rPr>
        <sz val="12"/>
        <color theme="1"/>
        <rFont val="Georgia"/>
        <family val="1"/>
      </rPr>
      <t xml:space="preserve">
	Un resumen de los objetivos de auditoría relacionados con este rubro y si los mismos son críticos.
	Las aseveraciones de los estados financieros que se combinaron en cada objetivo de auditoría.
	La evaluación del riesgo de que ocurran errores e irregularidades significativos en cada objetivo de auditoría.
	Los procedimientos planeados para obtener evidencia de auditoría que respalde los riesgos de que ocurran errores e irregularidades significativos para cada objetivo de auditoría.
	Los procedimientos planeados para el resto del trabajo de auditoría. </t>
    </r>
  </si>
  <si>
    <t>II.	Objetivos:</t>
  </si>
  <si>
    <r>
      <rPr>
        <sz val="12"/>
        <color rgb="FFFF0000"/>
        <rFont val="Georgia"/>
        <family val="1"/>
      </rPr>
      <t>a)	Verificar la existencia, propiedad y valuación de los bienes existentes a la fecha de los estados financieros.</t>
    </r>
    <r>
      <rPr>
        <sz val="12"/>
        <color theme="1"/>
        <rFont val="Georgia"/>
        <family val="1"/>
      </rPr>
      <t xml:space="preserve">
b)	Verificar que los bienes están registrados al costo y separados de los gastos de mantención y reparaciones.
c)	Determinar si el método de depreciación es el correcto de acuerdo a NIIF aplicados consistentemente.
d)	Verificar si los bienes se encuentran hipotecados o prendados por alguna obligación, y de ser así, deberá ser revelado en los estados financieros.</t>
    </r>
  </si>
  <si>
    <t>III.	Evaluación del Riesgo</t>
  </si>
  <si>
    <t>Describa la evaluación del riesgo de que ocurran errores e irregularidades significativos para el objetivo de auditoría, como Alto (A), Moderado (M) o Bajo (B). Proporcione también un razonamiento para esta evaluación.</t>
  </si>
  <si>
    <t>Aseveraciones</t>
  </si>
  <si>
    <t>Riesgo Inherente</t>
  </si>
  <si>
    <t>Riesgo de Control</t>
  </si>
  <si>
    <t>REIS</t>
  </si>
  <si>
    <t>Integridad (Totalidad)</t>
  </si>
  <si>
    <t>Existencia</t>
  </si>
  <si>
    <t>Ex</t>
  </si>
  <si>
    <t>Exactitud</t>
  </si>
  <si>
    <t>E</t>
  </si>
  <si>
    <t>Propiedad/Obligación</t>
  </si>
  <si>
    <t>O</t>
  </si>
  <si>
    <t>Valuación</t>
  </si>
  <si>
    <t>V</t>
  </si>
  <si>
    <t>Presentación y Revelación</t>
  </si>
  <si>
    <t>IV.	Procedimientos de Auditoría</t>
  </si>
  <si>
    <t>Naturaleza y Alcance de los Procedimientos de Auditoría</t>
  </si>
  <si>
    <t>Aseveración de auditoría a cubrir</t>
  </si>
  <si>
    <t>Oportunidad</t>
  </si>
  <si>
    <t>Preparado por y fecha</t>
  </si>
  <si>
    <t>Ref p/t</t>
  </si>
  <si>
    <t>Obtener los análisis de cuentas y verifique que los saldos de éstos concuerden con el libro mayor o balance a la fecha de cierre de los estados financieros.</t>
  </si>
  <si>
    <t>Auditoría Preliminar</t>
  </si>
  <si>
    <t>k-01</t>
  </si>
  <si>
    <t>Auditoría Final</t>
  </si>
  <si>
    <t>Solicite los análisis de todas las cuentas asociadas al rubro y verifique sumas y referencie cruzando con la cédula guía el saldo de cada una de las cuentas.</t>
  </si>
  <si>
    <t>T - E</t>
  </si>
  <si>
    <t xml:space="preserve">AP </t>
  </si>
  <si>
    <t>AF</t>
  </si>
  <si>
    <t>Obtener un entendimiento de las políticas contables significativas de las propiedades, plantas y equipo y la depreciación. (1)</t>
  </si>
  <si>
    <t>Obtenga o prepare un cuadro resumen del rubro, considerando, columnas para: saldos iniciales, bajas, adiciones, saldos ajustados, depreciación acumulada inicial, disminución por bajas, depreciación del periodo y saldo de la depreciación acumulada.</t>
  </si>
  <si>
    <t>k-02</t>
  </si>
  <si>
    <t>Verifique que los saldos iniciales concuerden con los saldos del año anterior, según informe de auditoría. En el caso de tratarse de una primera auditoría, deberá cambiar el procedimiento por la obtención de documentos que sustentes la propiedad y valorización de los principales bienes del activo fijo, como son facturas, escrituras de compra – venta y otros.</t>
  </si>
  <si>
    <t>T - Ex - E</t>
  </si>
  <si>
    <t xml:space="preserve">Seleccione una muestra de las adiciones y examine su naturaleza y sustentación contra documentación de respaldo pertinente. </t>
  </si>
  <si>
    <t>Seleccione una muestra de las bajas más importantes y verifique su contabilización y documentación de respaldo pertinente, efectúe las referencias cruzadas a las cuentas de resultados correspondientes.</t>
  </si>
  <si>
    <t xml:space="preserve">T - Ex </t>
  </si>
  <si>
    <t>Verifique selectivamente la existencia física de los principales bienes que conforman el activo fijo.</t>
  </si>
  <si>
    <t>AP</t>
  </si>
  <si>
    <t>75% de los bienes</t>
  </si>
  <si>
    <t>Verifique en forma global los criterios de actualización aplicados por la compañía.</t>
  </si>
  <si>
    <t>Revisar la documentación para los activos arrendados a otros, cuando los montos son significativos, revisar los contratos y otras disposiciones y, si es apropiado, asegurarse de su existencia</t>
  </si>
  <si>
    <t>Evalúe la necesidad de realizar procedimientos de auditoría en la medida que entre la fecha de visita preliminar y final las adiciones hubiesen sido significativas, verifique su respaldo con la factura o contrato correspondiente.</t>
  </si>
  <si>
    <t>T - E - Ex</t>
  </si>
  <si>
    <t>Verifique el método de depreciación en uso de la compañía, verificando:</t>
  </si>
  <si>
    <t>Ex - V</t>
  </si>
  <si>
    <t>que esté basado en los valores actualizados de los bienes considerando los años de vida útil restante de los mismos.</t>
  </si>
  <si>
    <t>La validez de la vida útil asignada a los bienes en función de su uso y riesgo de obsolescencia tecnológica.</t>
  </si>
  <si>
    <t>Mediante una muestra selectiva de bienes, reprocese los cálculos de depreciación del periodo.</t>
  </si>
  <si>
    <t>Referencie cruzado los efectos de depreciación del año con las cuentas de resultados correspondientes.</t>
  </si>
  <si>
    <t>Verifique si la sociedad utiliza el crédito tributario por adiciones de activo fijo, y de ser así indague si su forma de contabilizar está de acuerdo a la NIC 16</t>
  </si>
  <si>
    <t xml:space="preserve">Indague si los bienes del activo fijo se encuentran hipotecados o prendados, preparando un resumen de ellos para efectos de revelación en nota de los EEFF </t>
  </si>
  <si>
    <t>Considerar el monto actual de los activos. (2)</t>
  </si>
  <si>
    <t>V - P</t>
  </si>
  <si>
    <t>AP o AF</t>
  </si>
  <si>
    <t>El auditor debe considerar también el desarrollo del negocio del cliente y la industria y probar efectuando otros procedimientos de auditoría para determinar si el monto actual de los activos se ha deteriorado.</t>
  </si>
  <si>
    <t>Identificar los activos totalmente depreciados incluidos en los registros de propiedad. Obtener seguridad que dichos activos se siguen utilizando (es decir, que no han sido desechados o abandonados). Considerar si esto puede indicar que las tasas de depreciación no son apropiadas.</t>
  </si>
  <si>
    <t>Ex - P</t>
  </si>
  <si>
    <t>Revisar la capitalización de intereses. (3) nic 23</t>
  </si>
  <si>
    <t>Identifique claramente las partidas que tienen efecto en el estado de flujo de efectivo al cierre del periodo auditado y referencie cruzado con la Hoja del EFE.</t>
  </si>
  <si>
    <t>Concluya respecto de la razonabilidad de los saldos presentados en este rubro al cierre del periodo auditado.</t>
  </si>
  <si>
    <t>K1-02</t>
  </si>
  <si>
    <t xml:space="preserve">La capitalización de los desembolsos posteriores debe realizarse cuando es probable que el activo produzca beneficios futuros que superarán el estándar de rendimiento estimado originalmente. </t>
  </si>
  <si>
    <t xml:space="preserve">Posteriormente, la entidad puede seguir usando el costo, pero los activos pueden revaluarse al valor razonable. Esta alternativa debe usarse en todas las fechas de presentación de la información y se debe aplicar a una clase entera de activos y no a un activo solo. </t>
  </si>
  <si>
    <t>La norma en su párrafo 35 recomienda que al efectuarse una revaluación, y el valor del activo aumente o disminuya se tienen que aumentar o disminuir la depreciación acumulada que mantenga la cuenta contable.</t>
  </si>
  <si>
    <t>* Su precio de adquisición, incluidos los aranceles de importación y los impuestos no recuperables.
* Todos los costos atribuibles a la ubicación del activo.
* La estimación inicial de los costos de desmantelamiento y retiro del elemento.</t>
  </si>
  <si>
    <r>
      <t xml:space="preserve">Un activo debe reconocerse, inicialmente, a su costo, lo que incluye todos los costos relacionados con la ubicación del activo en el lugar y en las condiciones actuales, listo para darle un uso productivo </t>
    </r>
    <r>
      <rPr>
        <b/>
        <sz val="12"/>
        <color theme="1"/>
        <rFont val="Georgia"/>
        <family val="1"/>
      </rPr>
      <t>(NIC 16, p16):</t>
    </r>
  </si>
  <si>
    <r>
      <t xml:space="preserve">Las ganancias y pérdidas por revaluación deben contabilizarse en otros ingresos totales y dentro de la cuenta de superávit de revaluación (otras reservas). Hay algunas reglas especiales cuando se produce una pérdida por revaluación en casos en los que anteriormente hubo una ganancia por revaluación, en el cual se debe dar de baja primero el monto que se tiene en superávit de revaluación (otras reservas) y después pasara por resultados (pérdidas por deterioro) </t>
    </r>
    <r>
      <rPr>
        <b/>
        <sz val="12"/>
        <color theme="1"/>
        <rFont val="Georgia"/>
        <family val="1"/>
      </rPr>
      <t>(NIC 16, p39 y 40).</t>
    </r>
  </si>
  <si>
    <t>1-2-10-054 Planta Productora</t>
  </si>
  <si>
    <t>4-1-07-001 Depreciación Activos en Leasing</t>
  </si>
  <si>
    <t>1-2-10-013 Dep. Acum. de Activos en Leasing</t>
  </si>
  <si>
    <t>1-2-10-005 Activos en Leasing</t>
  </si>
  <si>
    <t>4-1-13-001 Ganancia Valor Razonable</t>
  </si>
  <si>
    <t>4-1-13-002 Pérdida Valor Razonable</t>
  </si>
  <si>
    <t>CM existencias</t>
  </si>
  <si>
    <t>4-1-12-008 Corrección Monetaria Existencias</t>
  </si>
  <si>
    <t>31.500.000 ajustar</t>
  </si>
  <si>
    <t>4-1-12-009 Corrección Monetaria Patrimonio</t>
  </si>
  <si>
    <t>4-1-12-010 Corrección Monetaria PPM</t>
  </si>
  <si>
    <t>10.f) La sociedad tiene un contrato vigente de ventas de existencias a un precio menor al costo, el contrato tiene vencimiento en abril de 2023 y al 31 de diciembre se espera perder 32.000.000</t>
  </si>
  <si>
    <t>10.a) El Colegio de Contadores de Chile A.G., recibe información al cierre de los estados financieros, por parte de Juan Andrés Salfate, que según información de QuakRedAlert, es probable con un 90% que ocurra un terremoto grado 9.3, por lo cual se provisionaran 180.000.000</t>
  </si>
  <si>
    <t>Utilidad Balance</t>
  </si>
  <si>
    <t>3-1-08-001 Utilidad Empresa Relacionada</t>
  </si>
  <si>
    <t xml:space="preserve">Antecedentes </t>
  </si>
  <si>
    <t>Year End: 31 de diciembre de 2024</t>
  </si>
  <si>
    <t>31.12.2024</t>
  </si>
  <si>
    <t>Auditoría al 31 de diciembre de 2024</t>
  </si>
  <si>
    <r>
      <t xml:space="preserve">
</t>
    </r>
    <r>
      <rPr>
        <b/>
        <sz val="12"/>
        <color theme="1"/>
        <rFont val="Georgia"/>
        <family val="1"/>
      </rPr>
      <t xml:space="preserve">a)	Resultado antes de impuestos: </t>
    </r>
    <r>
      <rPr>
        <sz val="12"/>
        <color theme="1"/>
        <rFont val="Georgia"/>
        <family val="1"/>
      </rPr>
      <t xml:space="preserve">
Este indicador se utilizará cuando la sociedad y sus resultados en periodos consecutivos o históricos sean positivos, cuando la sociedad se encuentre consolidada en el mercado nacional, internacional y en su industria, que posee buenos indicadores económicos y financieros, etc. Para efectos de la determinación de la materialidad no utilizaremos los resultados antes de impuestos negativos que posea la sociedad en el periodo bajo revisión. Cabe destacar que la planificación para efectos de planificación cuando se utiliza la utilidad antes de impuestos y su cálculo se realiza en una fecha interina, debe ser proyectada en el periodo de revisión de los estados financieros.
Cabe destacar que para efectos de nuestra revisión de los estados financieros se deberá reevaluar la determinación de la materialidad para efectos de planificación en nuestra visita final, con el objeto de determinar si existen fluctuaciones entre el resultado antes de impuestos proyectado en nuestra visita de planificación y el resultado antes de impuestos final de los estados financieros. 
</t>
    </r>
    <r>
      <rPr>
        <b/>
        <sz val="12"/>
        <color rgb="FFFF0000"/>
        <rFont val="Georgia"/>
        <family val="1"/>
      </rPr>
      <t>El cálculo de la materialidad para efectos de planificación será un 5% de la utilidad antes de impuestos.</t>
    </r>
  </si>
  <si>
    <r>
      <t xml:space="preserve">b)	Total de activos o total de ingresos de explotación
</t>
    </r>
    <r>
      <rPr>
        <sz val="12"/>
        <color theme="1"/>
        <rFont val="Georgia"/>
        <family val="1"/>
      </rPr>
      <t>Este indicador se utilizará cuando la sociedad no posee una consolidación en los resultados del ejercicio de periodos consecutivos y del periodo bajo revisión, esto quiere decir que ha obtenido perdidas recurrentes del ejercicio o que ha generado pérdidas y ganancias durante un periodo de tiempo determinado, cuando la sociedad posee posibles problemas de empresa en marcha o indicies financieros y económicos deficientes.</t>
    </r>
    <r>
      <rPr>
        <b/>
        <sz val="12"/>
        <color theme="1"/>
        <rFont val="Georgia"/>
        <family val="1"/>
      </rPr>
      <t xml:space="preserve">
</t>
    </r>
    <r>
      <rPr>
        <b/>
        <sz val="12"/>
        <color rgb="FFFF0000"/>
        <rFont val="Georgia"/>
        <family val="1"/>
      </rPr>
      <t xml:space="preserve">El cálculo de la materialidad para efectos de planificación será un 0,5% </t>
    </r>
  </si>
  <si>
    <t>Balance al 31.12.2024 NIIF ($ Pesos)</t>
  </si>
  <si>
    <t>Corrección Monetaria 2024</t>
  </si>
  <si>
    <t>ANALISIS PARA LA DECISION DE LA REVISION DE CUENTAS AL 31.12.2024</t>
  </si>
  <si>
    <t>31.12.2025</t>
  </si>
  <si>
    <t>31.11.2024</t>
  </si>
  <si>
    <t>31.10.2024</t>
  </si>
  <si>
    <t>Valor Futuro al 30.04.2025 Euro</t>
  </si>
  <si>
    <t>Valor Futuro al 30.04.2025 Dólar</t>
  </si>
  <si>
    <t>30.11.2024</t>
  </si>
  <si>
    <t>31.01.2025</t>
  </si>
  <si>
    <t>28.02.2025</t>
  </si>
  <si>
    <t>31.03.2025</t>
  </si>
  <si>
    <t>30.04.2025</t>
  </si>
  <si>
    <t>Cierres al 31.12.2024</t>
  </si>
  <si>
    <t>Cotizaciones al 2024</t>
  </si>
  <si>
    <t>Detalle de activo fijo financiero al 31.12.2023</t>
  </si>
  <si>
    <t>Detalle Tributario al 31.12.2023</t>
  </si>
  <si>
    <t>Depreciados 100%</t>
  </si>
  <si>
    <t>Los siguientes son los datos a considerar en la Tasación de los activos al 01.01.2024</t>
  </si>
  <si>
    <t>Información proporcionada 31.12.2024</t>
  </si>
  <si>
    <t>El 31 de diciembre de 2024, ocurrió un terremoto en Valdivia, por lo cual el valor de mercado del edificio queda en 8.000.000, producto de esto el vehículo quedo con pérdida total, se dejará el vehículo en 500.000 ya que hay partes que se pueden vender.</t>
  </si>
  <si>
    <t>La Edificación ubicada en Antofagasta quedo en 95.000.000, por la nueva información de las propiedades</t>
  </si>
  <si>
    <t>El Edificio de Chillán aumenta su valor y queda en 310.000.000</t>
  </si>
  <si>
    <t>El Terreno ubicado en Valparaiso pierde su valor por problemas de suelos, quedando en 50.000.000</t>
  </si>
  <si>
    <r>
      <t xml:space="preserve">El Terreno ubicado en La Serena se vende en 380.000.000 </t>
    </r>
    <r>
      <rPr>
        <b/>
        <sz val="11"/>
        <rFont val="Georgia"/>
        <family val="1"/>
      </rPr>
      <t>#no esta contabilizado#</t>
    </r>
  </si>
  <si>
    <r>
      <t xml:space="preserve">Se arrendo un terreno el 10 de marzo de 2024 en Puerto Montt con un plazo de 30 años, donde se está construyendo una planta productora, se estima que los costos de desmantelamiento son de 30.000.000, los costos de preparar el terreno son 10.o00.000, los costos de instalación y montaje son 50.000.000, los costos de funcionamiento de la planta son 10.000.000, los costos indirectos y generales son de 8.000.000, los costos de flete para llevar las instalaciones son de 5.000.000, los costos de los materiales son de 100.000.000, estime el valor del activo, tasa de interés a largo plazo se estima de un 2%, la planta se estima entre en funcionamiento el año 2025 </t>
    </r>
    <r>
      <rPr>
        <b/>
        <sz val="11"/>
        <rFont val="Georgia"/>
        <family val="1"/>
      </rPr>
      <t>#se tiene registrado un activo por 183.000.000, los costos de desmantelamiento no se registraron#</t>
    </r>
  </si>
  <si>
    <t>Desarrollar los ajustes correspondientes según las NIIF y ajutes tributarios correspondientes, con el impuesto diferido al 01.01.2024 y 31.12.2024, la administración no tienen ningún registro en el 2024</t>
  </si>
  <si>
    <t>Conversión y auditoría al 31.12.2024</t>
  </si>
  <si>
    <t>Tasación  Terrenos</t>
  </si>
  <si>
    <t>Valor al 31.12.2024</t>
  </si>
  <si>
    <t>18.12.2024</t>
  </si>
  <si>
    <t>05.12.2024</t>
  </si>
  <si>
    <t>04.01.2025</t>
  </si>
  <si>
    <t>17.01.2025</t>
  </si>
  <si>
    <t>30.12.2024</t>
  </si>
  <si>
    <t>TM (8%)</t>
  </si>
  <si>
    <t>TM (12%)</t>
  </si>
  <si>
    <t>El colegio de contadores de Chile A.G. desarrolla un arrendamiento financiero el 30 de noviembre de 2024 con las siguientes condiciones:</t>
  </si>
  <si>
    <t xml:space="preserve">o    Tasa de interés del contrato 12% </t>
  </si>
  <si>
    <t>o    Pago cuota inicial de 100 UF</t>
  </si>
  <si>
    <t>Contrato 30 marzo de 2024</t>
  </si>
  <si>
    <t>Contrato 30 julio de 2024</t>
  </si>
  <si>
    <t>El 15 de diciembre de 2024, se compra acciones de Bitcoin &amp; Cardano</t>
  </si>
  <si>
    <t>El 10 de diciembre de 2024, se compra acciones de Lan y Tesla</t>
  </si>
  <si>
    <t>El Colegio de Contadores de Chile A.G., al 30.10.2024, acuerda con el Banco Santander al cabo de 6 meses intercambiar monedas fijado en un contrato, en lo cual se señala lo siguiente:
El Colegio de Contadores de Chile A.G. comprará USD 1.000.000 al banco por un tipo de cambio de $1.040 al 30.04.2025, el cual se liquidará en esa fecha.</t>
  </si>
  <si>
    <t>30.10.2024</t>
  </si>
  <si>
    <t>1- El colegio paga 1.040.000.000 al banco</t>
  </si>
  <si>
    <t>Saldo al 31.12.2024</t>
  </si>
  <si>
    <t>Total 2024</t>
  </si>
  <si>
    <t>30-02-2022</t>
  </si>
  <si>
    <t>30-02-2023</t>
  </si>
  <si>
    <t>Total 2011</t>
  </si>
  <si>
    <t>El reconocimiento del deterioro de cuentas por cobrar se genera según la siguiente política contable, deuda por vencer un 2%, deuda menor a 90 días un 5%, deuda entre 90 y 180 días un 20%, deuda entre 181 y 365 un 50% y más de 365 días un 100%.</t>
  </si>
  <si>
    <t>auditoría al 31.12.2024 Préstamos Empleados</t>
  </si>
  <si>
    <t>Detalle al 31.12.2024</t>
  </si>
  <si>
    <t>Balance al 31.12.2024 Auditoría  NIIF ($ Pesos)</t>
  </si>
  <si>
    <t>CFR</t>
  </si>
  <si>
    <t>04.07.2025</t>
  </si>
  <si>
    <t xml:space="preserve">No se puede considerar </t>
  </si>
  <si>
    <t>Por no tener la información de los 3 últimos años de la empresa, no se considera la utilidad antes de impuesto, según la NIA 320, considero el total de activo, por ser superior al total de ingreso y se multiplica por el 0,5%</t>
  </si>
  <si>
    <t>30.09.2024</t>
  </si>
  <si>
    <t>1 mes</t>
  </si>
  <si>
    <t>30.06.2024</t>
  </si>
  <si>
    <t>Carlos Filgueira Ramos</t>
  </si>
  <si>
    <t>Glosa:Se propone ajuste contable</t>
  </si>
  <si>
    <t>Gasto</t>
  </si>
  <si>
    <t>Glosa:Guarda en el papel de trabajo</t>
  </si>
  <si>
    <t>Pérdidas</t>
  </si>
  <si>
    <t>Glosa:Obligación del ajuste contable</t>
  </si>
  <si>
    <t>03, 06</t>
  </si>
  <si>
    <t>04.07.2024</t>
  </si>
  <si>
    <t>Bajo</t>
  </si>
  <si>
    <t>SUSTANTIVO</t>
  </si>
  <si>
    <t>07,07,2025</t>
  </si>
  <si>
    <t>07.07.2025</t>
  </si>
  <si>
    <t>La sociedad le entraga información de su tasación al 01.01.2024 y detalles para depreciación no registradas en el ejercicio</t>
  </si>
  <si>
    <t>01.01.2024</t>
  </si>
  <si>
    <t>2-3-01-004 Otras Reservas</t>
  </si>
  <si>
    <t>4-1-21-001 Deterioro Propiedades, Plantas y Equipos</t>
  </si>
  <si>
    <t>Glosa: ajuste Obligatorio por tasación de los activos</t>
  </si>
  <si>
    <t>Tasación  Edificios</t>
  </si>
  <si>
    <t>Glosa: ajuste obligatorio de tasación PPE</t>
  </si>
  <si>
    <t>Glosa: ajuste obligatorio por tasación</t>
  </si>
  <si>
    <t>Glosa: ajuste obligatorio por tasación PPE</t>
  </si>
  <si>
    <t>11, 14</t>
  </si>
  <si>
    <t>Ordenamiento muebles y enseres</t>
  </si>
  <si>
    <t>1-2-10-055 Escritorios</t>
  </si>
  <si>
    <t>1-2-10-056 Sillas</t>
  </si>
  <si>
    <t>1-2-10-057 Estantes</t>
  </si>
  <si>
    <t>Glosa: ajuste por reconocimiento y ordenamiento de activos</t>
  </si>
  <si>
    <t>obligatorio</t>
  </si>
  <si>
    <t>05, 07, 08, 15</t>
  </si>
  <si>
    <t>Ordenamiento Maquinarias y Equipos</t>
  </si>
  <si>
    <t>1-2-10-058 Maquina Transportadora</t>
  </si>
  <si>
    <t>1-2-10-059 Maquina Cortadora</t>
  </si>
  <si>
    <t>1-2-10-060 Maquina Recolectora</t>
  </si>
  <si>
    <t>Glosa: ajuste de maquinaria por componente obligatorio</t>
  </si>
  <si>
    <t>20:42 Breik</t>
  </si>
  <si>
    <t>AJUSTE POR DEPRECIACIÓN AL 31.12.2024</t>
  </si>
  <si>
    <t>OR</t>
  </si>
  <si>
    <t>Deterioro</t>
  </si>
  <si>
    <t>Venta PPE</t>
  </si>
  <si>
    <t>Glosa: depreciación Edificios al 31.12.2024</t>
  </si>
  <si>
    <t>12, 13, 14, 17, 18, 19</t>
  </si>
  <si>
    <t>17, 18, 19</t>
  </si>
  <si>
    <t>4-1-07-005 Depreciación Vehiculos</t>
  </si>
  <si>
    <t>Muebles</t>
  </si>
  <si>
    <t>1-2-10-061 Dep. Acum. Escritorios</t>
  </si>
  <si>
    <t>1-2-10-062 Dep. Acum. Sillas</t>
  </si>
  <si>
    <t>1-2-10-063 Dep. Acum. Estantes</t>
  </si>
  <si>
    <t>Glosa: depreciación Muebles al 31.12.2024</t>
  </si>
  <si>
    <t>Otras Maquinarias</t>
  </si>
  <si>
    <t>4-1-07-006 Depreciación Otras Maquinas</t>
  </si>
  <si>
    <t>MAQUINARIAS</t>
  </si>
  <si>
    <t>1-2-10-064 Dep. Acum. Maquina Transportadora</t>
  </si>
  <si>
    <t>1-2-10-065 Dep. Acum. Maquina Cortadora</t>
  </si>
  <si>
    <t>1-2-10-066 Dep. Acum. Maquina Recolectora</t>
  </si>
  <si>
    <t>Glosa: depreciación maquinarias</t>
  </si>
  <si>
    <t>11, 12, 13, 16, 17, 18, 23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</si>
</sst>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 #,##0.00\ _€_-;\-* #,##0.00\ _€_-;_-* &quot;-&quot;??\ _€_-;_-@_-"/>
    <numFmt numFmtId="165" formatCode="#,##0_ ;[Red]\-#,##0\ "/>
    <numFmt numFmtId="166" formatCode="#,##0;[Red]\(#,##0\)"/>
    <numFmt numFmtId="167" formatCode="#,##0;\(#,##0\)"/>
    <numFmt numFmtId="168" formatCode="_(* #,##0_);_(* \(#,##0\);_(* &quot;-&quot;??_);_(@_)"/>
    <numFmt numFmtId="169" formatCode="00000"/>
    <numFmt numFmtId="170" formatCode="_ * #,##0.0_ ;_ * \-#,##0.0_ ;_ * &quot;-&quot;_ ;_ @_ "/>
    <numFmt numFmtId="171" formatCode="_ * #,##0.00_ ;_ * \-#,##0.00_ ;_ * &quot;-&quot;_ ;_ @_ "/>
    <numFmt numFmtId="172" formatCode="_ * #,##0.000_ ;_ * \-#,##0.000_ ;_ * &quot;-&quot;_ ;_ @_ "/>
    <numFmt numFmtId="173" formatCode="0.0"/>
    <numFmt numFmtId="174" formatCode="0.0000"/>
    <numFmt numFmtId="175" formatCode="_-* #,##0_-;\-* #,##0_-;_-* &quot;-&quot;??_-;_-@_-"/>
  </numFmts>
  <fonts count="140">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sz val="1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9"/>
      <color rgb="FFFF0000"/>
      <name val="Calibri"/>
      <family val="2"/>
      <scheme val="minor"/>
    </font>
    <font>
      <sz val="10"/>
      <color rgb="FFFF0000"/>
      <name val="Calibri"/>
      <family val="2"/>
      <scheme val="minor"/>
    </font>
    <font>
      <b/>
      <sz val="10"/>
      <name val="Calibri"/>
      <family val="2"/>
      <scheme val="minor"/>
    </font>
    <font>
      <u/>
      <sz val="11"/>
      <color theme="10"/>
      <name val="Calibri"/>
      <family val="2"/>
    </font>
    <font>
      <u/>
      <sz val="10"/>
      <color theme="10"/>
      <name val="Calibri"/>
      <family val="2"/>
    </font>
    <font>
      <sz val="11"/>
      <color theme="1"/>
      <name val="Calibri"/>
      <family val="2"/>
      <scheme val="minor"/>
    </font>
    <font>
      <i/>
      <sz val="10"/>
      <color theme="1"/>
      <name val="Calibri"/>
      <family val="2"/>
      <scheme val="minor"/>
    </font>
    <font>
      <u/>
      <sz val="10"/>
      <color theme="10"/>
      <name val="Calibri"/>
      <family val="2"/>
      <scheme val="minor"/>
    </font>
    <font>
      <sz val="10"/>
      <name val="Arial"/>
      <family val="2"/>
    </font>
    <font>
      <sz val="9"/>
      <name val="Calibri"/>
      <family val="2"/>
      <scheme val="minor"/>
    </font>
    <font>
      <b/>
      <sz val="9"/>
      <name val="Calibri"/>
      <family val="2"/>
      <scheme val="minor"/>
    </font>
    <font>
      <b/>
      <u/>
      <sz val="9"/>
      <color theme="1"/>
      <name val="Calibri"/>
      <family val="2"/>
      <scheme val="minor"/>
    </font>
    <font>
      <u/>
      <sz val="9"/>
      <color theme="10"/>
      <name val="Calibri"/>
      <family val="2"/>
    </font>
    <font>
      <sz val="11"/>
      <color indexed="8"/>
      <name val="Calibri"/>
      <family val="2"/>
    </font>
    <font>
      <b/>
      <sz val="8"/>
      <color indexed="81"/>
      <name val="Tahoma"/>
      <family val="2"/>
    </font>
    <font>
      <sz val="8"/>
      <color indexed="81"/>
      <name val="Tahoma"/>
      <family val="2"/>
    </font>
    <font>
      <b/>
      <sz val="9"/>
      <color indexed="9"/>
      <name val="Calibri"/>
      <family val="2"/>
      <scheme val="minor"/>
    </font>
    <font>
      <sz val="8"/>
      <name val="ＭＳ Ｐゴシック"/>
      <family val="3"/>
      <charset val="128"/>
    </font>
    <font>
      <sz val="9"/>
      <name val="Calibri"/>
      <family val="2"/>
    </font>
    <font>
      <b/>
      <sz val="9"/>
      <name val="Calibri"/>
      <family val="2"/>
    </font>
    <font>
      <sz val="10"/>
      <color theme="0"/>
      <name val="Calibri"/>
      <family val="2"/>
      <scheme val="minor"/>
    </font>
    <font>
      <sz val="9"/>
      <color theme="0"/>
      <name val="Calibri"/>
      <family val="2"/>
      <scheme val="minor"/>
    </font>
    <font>
      <i/>
      <sz val="9"/>
      <name val="Calibri"/>
      <family val="2"/>
    </font>
    <font>
      <sz val="9"/>
      <color rgb="FFFF0000"/>
      <name val="Calibri"/>
      <family val="2"/>
    </font>
    <font>
      <i/>
      <u/>
      <sz val="10"/>
      <color theme="1"/>
      <name val="Calibri"/>
      <family val="2"/>
      <scheme val="minor"/>
    </font>
    <font>
      <b/>
      <i/>
      <sz val="9"/>
      <color theme="1"/>
      <name val="Calibri"/>
      <family val="2"/>
      <scheme val="minor"/>
    </font>
    <font>
      <sz val="10"/>
      <color rgb="FF000000"/>
      <name val="Calibri"/>
      <family val="2"/>
      <scheme val="minor"/>
    </font>
    <font>
      <b/>
      <sz val="10"/>
      <color rgb="FF000000"/>
      <name val="Calibri"/>
      <family val="2"/>
      <scheme val="minor"/>
    </font>
    <font>
      <sz val="11"/>
      <name val="Calibri"/>
      <family val="2"/>
      <scheme val="minor"/>
    </font>
    <font>
      <b/>
      <sz val="11"/>
      <name val="Calibri"/>
      <family val="2"/>
      <scheme val="minor"/>
    </font>
    <font>
      <sz val="8"/>
      <color rgb="FF000000"/>
      <name val="Times New Roman"/>
      <family val="1"/>
    </font>
    <font>
      <sz val="11"/>
      <color theme="1"/>
      <name val="Times New Roman"/>
      <family val="1"/>
    </font>
    <font>
      <b/>
      <sz val="11"/>
      <color rgb="FF3333FF"/>
      <name val="Calibri"/>
      <family val="2"/>
      <scheme val="minor"/>
    </font>
    <font>
      <sz val="11"/>
      <color indexed="9"/>
      <name val="Czcionka tekstu podstawowego"/>
      <family val="2"/>
      <charset val="238"/>
    </font>
    <font>
      <b/>
      <sz val="9"/>
      <color indexed="9"/>
      <name val="Verdana"/>
      <family val="2"/>
    </font>
    <font>
      <sz val="9"/>
      <color indexed="9"/>
      <name val="Verdana"/>
      <family val="2"/>
    </font>
    <font>
      <sz val="8"/>
      <name val="Verdana"/>
      <family val="2"/>
    </font>
    <font>
      <sz val="9"/>
      <name val="Verdana"/>
      <family val="2"/>
    </font>
    <font>
      <b/>
      <sz val="9"/>
      <name val="Verdana"/>
      <family val="2"/>
    </font>
    <font>
      <b/>
      <sz val="8"/>
      <name val="Verdana"/>
      <family val="2"/>
    </font>
    <font>
      <sz val="9"/>
      <color theme="1"/>
      <name val="Arial"/>
      <family val="2"/>
    </font>
    <font>
      <sz val="10"/>
      <color rgb="FFE5EDFF"/>
      <name val="Calibri"/>
      <family val="2"/>
      <scheme val="minor"/>
    </font>
    <font>
      <sz val="9"/>
      <name val="Times New Roman"/>
      <family val="1"/>
    </font>
    <font>
      <sz val="9"/>
      <color rgb="FFFF0000"/>
      <name val="Calibri"/>
      <family val="2"/>
      <scheme val="minor"/>
    </font>
    <font>
      <b/>
      <sz val="11"/>
      <color theme="1"/>
      <name val="Georgia"/>
      <family val="1"/>
    </font>
    <font>
      <sz val="11"/>
      <color theme="1"/>
      <name val="Georgia"/>
      <family val="1"/>
    </font>
    <font>
      <sz val="11"/>
      <color rgb="FFFF0000"/>
      <name val="Georgia"/>
      <family val="1"/>
    </font>
    <font>
      <b/>
      <sz val="11"/>
      <color rgb="FF000000"/>
      <name val="Georgia"/>
      <family val="1"/>
    </font>
    <font>
      <sz val="11"/>
      <color rgb="FF000000"/>
      <name val="Georgia"/>
      <family val="1"/>
    </font>
    <font>
      <sz val="9"/>
      <color theme="1"/>
      <name val="Georgia"/>
      <family val="1"/>
    </font>
    <font>
      <b/>
      <sz val="9"/>
      <color theme="1"/>
      <name val="Georgia"/>
      <family val="1"/>
    </font>
    <font>
      <sz val="9"/>
      <color rgb="FF000000"/>
      <name val="Georgia"/>
      <family val="1"/>
    </font>
    <font>
      <b/>
      <sz val="10"/>
      <color rgb="FF000000"/>
      <name val="Georgia"/>
      <family val="1"/>
    </font>
    <font>
      <b/>
      <sz val="10"/>
      <color rgb="FF800080"/>
      <name val="Georgia"/>
      <family val="1"/>
    </font>
    <font>
      <sz val="10"/>
      <color theme="1"/>
      <name val="Georgia"/>
      <family val="1"/>
    </font>
    <font>
      <sz val="10"/>
      <color theme="0"/>
      <name val="Georgia"/>
      <family val="1"/>
    </font>
    <font>
      <b/>
      <sz val="10"/>
      <color theme="0"/>
      <name val="Georgia"/>
      <family val="1"/>
    </font>
    <font>
      <sz val="10"/>
      <color rgb="FF000000"/>
      <name val="Georgia"/>
      <family val="1"/>
    </font>
    <font>
      <b/>
      <sz val="10"/>
      <color theme="1"/>
      <name val="Georgia"/>
      <family val="1"/>
    </font>
    <font>
      <sz val="13"/>
      <color theme="1"/>
      <name val="Georgia"/>
      <family val="1"/>
    </font>
    <font>
      <sz val="13"/>
      <color rgb="FF0000FF"/>
      <name val="Georgia"/>
      <family val="1"/>
    </font>
    <font>
      <sz val="13"/>
      <color rgb="FFFF0000"/>
      <name val="Georgia"/>
      <family val="1"/>
    </font>
    <font>
      <b/>
      <sz val="13"/>
      <color theme="0"/>
      <name val="Georgia"/>
      <family val="1"/>
    </font>
    <font>
      <sz val="13"/>
      <name val="Georgia"/>
      <family val="1"/>
    </font>
    <font>
      <b/>
      <sz val="11"/>
      <color rgb="FFFFFFFF"/>
      <name val="Georgia"/>
      <family val="1"/>
    </font>
    <font>
      <b/>
      <sz val="11"/>
      <color theme="0"/>
      <name val="Georgia"/>
      <family val="1"/>
    </font>
    <font>
      <b/>
      <sz val="11"/>
      <color rgb="FF0000FF"/>
      <name val="Georgia"/>
      <family val="1"/>
    </font>
    <font>
      <sz val="11"/>
      <color theme="0"/>
      <name val="Georgia"/>
      <family val="1"/>
    </font>
    <font>
      <sz val="11"/>
      <color rgb="FF0000FF"/>
      <name val="Georgia"/>
      <family val="1"/>
    </font>
    <font>
      <b/>
      <sz val="11"/>
      <color rgb="FFFF0000"/>
      <name val="Georgia"/>
      <family val="1"/>
    </font>
    <font>
      <sz val="11"/>
      <name val="Georgia"/>
      <family val="1"/>
    </font>
    <font>
      <b/>
      <sz val="13"/>
      <color rgb="FF0000FF"/>
      <name val="Georgia"/>
      <family val="1"/>
    </font>
    <font>
      <sz val="12"/>
      <color theme="1"/>
      <name val="Georgia"/>
      <family val="1"/>
    </font>
    <font>
      <b/>
      <sz val="12"/>
      <color theme="1"/>
      <name val="Georgia"/>
      <family val="1"/>
    </font>
    <font>
      <b/>
      <sz val="13"/>
      <color theme="1"/>
      <name val="Georgia"/>
      <family val="1"/>
    </font>
    <font>
      <sz val="13"/>
      <color rgb="FF000000"/>
      <name val="Georgia"/>
      <family val="1"/>
    </font>
    <font>
      <sz val="13"/>
      <color theme="0"/>
      <name val="Georgia"/>
      <family val="1"/>
    </font>
    <font>
      <b/>
      <sz val="11"/>
      <name val="Georgia"/>
      <family val="1"/>
    </font>
    <font>
      <b/>
      <sz val="9"/>
      <color rgb="FF000000"/>
      <name val="Georgia"/>
      <family val="1"/>
    </font>
    <font>
      <b/>
      <sz val="13"/>
      <name val="Georgia"/>
      <family val="1"/>
    </font>
    <font>
      <b/>
      <sz val="13"/>
      <color rgb="FF000000"/>
      <name val="Georgia"/>
      <family val="1"/>
    </font>
    <font>
      <b/>
      <sz val="14"/>
      <color theme="0"/>
      <name val="Georgia"/>
      <family val="1"/>
    </font>
    <font>
      <b/>
      <sz val="8"/>
      <color rgb="FF000000"/>
      <name val="Georgia"/>
      <family val="1"/>
    </font>
    <font>
      <sz val="8"/>
      <color rgb="FF000000"/>
      <name val="Georgia"/>
      <family val="1"/>
    </font>
    <font>
      <sz val="8"/>
      <color theme="1"/>
      <name val="Georgia"/>
      <family val="1"/>
    </font>
    <font>
      <b/>
      <sz val="9"/>
      <color rgb="FF0000FF"/>
      <name val="Georgia"/>
      <family val="1"/>
    </font>
    <font>
      <sz val="14"/>
      <color theme="1"/>
      <name val="Georgia"/>
      <family val="1"/>
    </font>
    <font>
      <b/>
      <sz val="14"/>
      <color theme="1"/>
      <name val="Georgia"/>
      <family val="1"/>
    </font>
    <font>
      <sz val="15"/>
      <color theme="1"/>
      <name val="Georgia"/>
      <family val="1"/>
    </font>
    <font>
      <b/>
      <sz val="10.1"/>
      <color rgb="FF000000"/>
      <name val="Georgia"/>
      <family val="1"/>
    </font>
    <font>
      <sz val="10.1"/>
      <color rgb="FF000000"/>
      <name val="Georgia"/>
      <family val="1"/>
    </font>
    <font>
      <sz val="15"/>
      <color rgb="FFFF0000"/>
      <name val="Georgia"/>
      <family val="1"/>
    </font>
    <font>
      <sz val="10"/>
      <color rgb="FFFF0000"/>
      <name val="Georgia"/>
      <family val="1"/>
    </font>
    <font>
      <sz val="11"/>
      <color theme="0"/>
      <name val="Calibri"/>
      <family val="2"/>
      <scheme val="minor"/>
    </font>
    <font>
      <b/>
      <sz val="10.1"/>
      <color theme="0"/>
      <name val="Georgia"/>
      <family val="1"/>
    </font>
    <font>
      <b/>
      <sz val="15"/>
      <color theme="0"/>
      <name val="Georgia"/>
      <family val="1"/>
    </font>
    <font>
      <b/>
      <sz val="11"/>
      <color theme="0"/>
      <name val="Calibri"/>
      <family val="2"/>
      <scheme val="minor"/>
    </font>
    <font>
      <b/>
      <sz val="10"/>
      <color theme="0"/>
      <name val="Calibri"/>
      <family val="2"/>
      <scheme val="minor"/>
    </font>
    <font>
      <sz val="9"/>
      <color theme="0"/>
      <name val="Calibri"/>
      <family val="2"/>
    </font>
    <font>
      <b/>
      <sz val="9"/>
      <color theme="0"/>
      <name val="Calibri"/>
      <family val="2"/>
    </font>
    <font>
      <b/>
      <sz val="9"/>
      <color theme="0"/>
      <name val="Calibri"/>
      <family val="2"/>
      <scheme val="minor"/>
    </font>
    <font>
      <b/>
      <sz val="12"/>
      <color theme="0"/>
      <name val="Georgia"/>
      <family val="1"/>
    </font>
    <font>
      <b/>
      <sz val="12"/>
      <color rgb="FF000000"/>
      <name val="Georgia"/>
      <family val="1"/>
    </font>
    <font>
      <sz val="12"/>
      <color rgb="FF000000"/>
      <name val="Georgia"/>
      <family val="1"/>
    </font>
    <font>
      <sz val="12"/>
      <color rgb="FF0000FF"/>
      <name val="Georgia"/>
      <family val="1"/>
    </font>
    <font>
      <sz val="12"/>
      <color rgb="FFFF0000"/>
      <name val="Georgia"/>
      <family val="1"/>
    </font>
    <font>
      <sz val="10"/>
      <name val="Georgia"/>
      <family val="1"/>
    </font>
    <font>
      <b/>
      <sz val="9"/>
      <name val="Georgia"/>
      <family val="1"/>
    </font>
    <font>
      <b/>
      <u/>
      <sz val="11"/>
      <name val="Georgia"/>
      <family val="1"/>
    </font>
    <font>
      <b/>
      <sz val="12"/>
      <color rgb="FFFF0000"/>
      <name val="Georgia"/>
      <family val="1"/>
    </font>
    <font>
      <b/>
      <sz val="15"/>
      <color theme="1"/>
      <name val="Georgia"/>
      <family val="1"/>
    </font>
    <font>
      <sz val="16"/>
      <name val="Tahoma"/>
      <family val="2"/>
    </font>
    <font>
      <sz val="11"/>
      <name val="Tahoma"/>
      <family val="2"/>
    </font>
    <font>
      <b/>
      <sz val="10"/>
      <name val="Tahoma"/>
      <family val="2"/>
    </font>
    <font>
      <sz val="10"/>
      <name val="Tahoma"/>
      <family val="2"/>
    </font>
    <font>
      <b/>
      <sz val="10"/>
      <name val="Arial"/>
      <family val="2"/>
    </font>
    <font>
      <b/>
      <sz val="9"/>
      <name val="Tahoma"/>
      <family val="2"/>
    </font>
    <font>
      <b/>
      <sz val="9"/>
      <color indexed="10"/>
      <name val="Tahoma"/>
      <family val="2"/>
    </font>
    <font>
      <sz val="9"/>
      <name val="Arial"/>
      <family val="2"/>
    </font>
    <font>
      <b/>
      <sz val="9"/>
      <color indexed="10"/>
      <name val="Arial"/>
      <family val="2"/>
    </font>
    <font>
      <sz val="9"/>
      <name val="Tahoma"/>
      <family val="2"/>
    </font>
    <font>
      <sz val="9"/>
      <color indexed="8"/>
      <name val="Arial"/>
      <family val="2"/>
    </font>
    <font>
      <sz val="10"/>
      <color indexed="8"/>
      <name val="匠牥晩††††††††††"/>
    </font>
    <font>
      <b/>
      <sz val="9"/>
      <color indexed="8"/>
      <name val="Tahoma"/>
      <family val="2"/>
    </font>
    <font>
      <sz val="9"/>
      <color indexed="8"/>
      <name val="Tahoma"/>
      <family val="2"/>
    </font>
    <font>
      <b/>
      <u/>
      <sz val="9"/>
      <name val="Tahoma"/>
      <family val="2"/>
    </font>
    <font>
      <sz val="8"/>
      <name val="Tahoma"/>
      <family val="2"/>
    </font>
    <font>
      <sz val="14"/>
      <name val="Georgia"/>
      <family val="1"/>
    </font>
    <font>
      <sz val="12"/>
      <color rgb="FF0066FF"/>
      <name val="Georgia"/>
      <family val="1"/>
    </font>
    <font>
      <sz val="10"/>
      <color rgb="FF706F6F"/>
      <name val="Georgia"/>
      <family val="1"/>
    </font>
  </fonts>
  <fills count="39">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indexed="30"/>
      </patternFill>
    </fill>
    <fill>
      <patternFill patternType="solid">
        <fgColor theme="0" tint="-0.499984740745262"/>
        <bgColor indexed="64"/>
      </patternFill>
    </fill>
    <fill>
      <patternFill patternType="solid">
        <fgColor theme="4" tint="0.59996337778862885"/>
        <bgColor indexed="64"/>
      </patternFill>
    </fill>
    <fill>
      <patternFill patternType="solid">
        <fgColor theme="1" tint="0.499984740745262"/>
        <bgColor indexed="64"/>
      </patternFill>
    </fill>
    <fill>
      <patternFill patternType="solid">
        <fgColor rgb="FF0000FF"/>
        <bgColor indexed="64"/>
      </patternFill>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rgb="FF000000"/>
        <bgColor indexed="64"/>
      </patternFill>
    </fill>
    <fill>
      <patternFill patternType="solid">
        <fgColor rgb="FFFFFFFF"/>
        <bgColor indexed="64"/>
      </patternFill>
    </fill>
    <fill>
      <patternFill patternType="solid">
        <fgColor rgb="FFD0CECE"/>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3333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EDEDED"/>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rgb="FFDDDDDD"/>
      </left>
      <right/>
      <top style="medium">
        <color rgb="FFDDDDDD"/>
      </top>
      <bottom/>
      <diagonal/>
    </border>
    <border>
      <left/>
      <right/>
      <top style="medium">
        <color rgb="FFDDDDDD"/>
      </top>
      <bottom/>
      <diagonal/>
    </border>
    <border>
      <left/>
      <right style="medium">
        <color rgb="FFDDDDDD"/>
      </right>
      <top style="medium">
        <color rgb="FFDDDDDD"/>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12">
    <xf numFmtId="0" fontId="0" fillId="0" borderId="0"/>
    <xf numFmtId="0" fontId="13" fillId="0" borderId="0" applyNumberFormat="0" applyFill="0" applyBorder="0" applyAlignment="0" applyProtection="0">
      <alignment vertical="top"/>
      <protection locked="0"/>
    </xf>
    <xf numFmtId="164" fontId="15" fillId="0" borderId="0" applyFont="0" applyFill="0" applyBorder="0" applyAlignment="0" applyProtection="0"/>
    <xf numFmtId="0" fontId="18" fillId="0" borderId="0"/>
    <xf numFmtId="0" fontId="23" fillId="0" borderId="0"/>
    <xf numFmtId="0" fontId="27" fillId="0" borderId="0" applyNumberFormat="0" applyFill="0" applyBorder="0">
      <alignment vertical="center"/>
    </xf>
    <xf numFmtId="9" fontId="15" fillId="0" borderId="0" applyFont="0" applyFill="0" applyBorder="0" applyAlignment="0" applyProtection="0"/>
    <xf numFmtId="0" fontId="43" fillId="10" borderId="0" applyNumberFormat="0" applyBorder="0" applyAlignment="0" applyProtection="0"/>
    <xf numFmtId="0" fontId="27" fillId="0" borderId="0" applyNumberFormat="0" applyFill="0" applyBorder="0">
      <alignment vertical="center"/>
    </xf>
    <xf numFmtId="41" fontId="15" fillId="0" borderId="0" applyFont="0" applyFill="0" applyBorder="0" applyAlignment="0" applyProtection="0"/>
    <xf numFmtId="41" fontId="15" fillId="0" borderId="0" applyFont="0" applyFill="0" applyBorder="0" applyAlignment="0" applyProtection="0"/>
    <xf numFmtId="0" fontId="132" fillId="0" borderId="0"/>
  </cellStyleXfs>
  <cellXfs count="2575">
    <xf numFmtId="0" fontId="0" fillId="0" borderId="0" xfId="0"/>
    <xf numFmtId="0" fontId="2" fillId="0" borderId="0" xfId="0" applyFont="1"/>
    <xf numFmtId="0" fontId="1" fillId="0" borderId="0" xfId="0" applyFont="1"/>
    <xf numFmtId="0" fontId="1" fillId="0" borderId="10" xfId="0" applyFont="1" applyBorder="1"/>
    <xf numFmtId="0" fontId="2" fillId="4" borderId="7" xfId="0" applyFont="1" applyFill="1" applyBorder="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3" borderId="10" xfId="0" applyFont="1" applyFill="1" applyBorder="1"/>
    <xf numFmtId="0" fontId="1" fillId="3" borderId="11" xfId="0" applyFont="1" applyFill="1" applyBorder="1"/>
    <xf numFmtId="0" fontId="2" fillId="0" borderId="5" xfId="0" applyFont="1" applyBorder="1"/>
    <xf numFmtId="0" fontId="1" fillId="0" borderId="0" xfId="0" applyFont="1" applyAlignment="1">
      <alignment horizontal="center"/>
    </xf>
    <xf numFmtId="0" fontId="2" fillId="0" borderId="10" xfId="0" applyFont="1" applyBorder="1"/>
    <xf numFmtId="0" fontId="2" fillId="0" borderId="11" xfId="0" applyFont="1" applyBorder="1"/>
    <xf numFmtId="0" fontId="2" fillId="0" borderId="6" xfId="0" applyFont="1" applyBorder="1"/>
    <xf numFmtId="0" fontId="1" fillId="3" borderId="12" xfId="0" applyFont="1" applyFill="1" applyBorder="1"/>
    <xf numFmtId="0" fontId="3" fillId="0" borderId="11" xfId="0" applyFont="1" applyBorder="1"/>
    <xf numFmtId="0" fontId="2" fillId="0" borderId="14" xfId="0" applyFont="1" applyBorder="1"/>
    <xf numFmtId="0" fontId="3" fillId="0" borderId="12" xfId="0" applyFont="1" applyBorder="1"/>
    <xf numFmtId="0" fontId="2" fillId="5" borderId="0" xfId="0" applyFont="1" applyFill="1"/>
    <xf numFmtId="0" fontId="2" fillId="0" borderId="0" xfId="0" applyFont="1" applyAlignment="1">
      <alignment wrapText="1"/>
    </xf>
    <xf numFmtId="0" fontId="1" fillId="0" borderId="0" xfId="0" applyFont="1" applyAlignment="1">
      <alignment wrapText="1"/>
    </xf>
    <xf numFmtId="0" fontId="4" fillId="0" borderId="0" xfId="0" applyFont="1" applyAlignment="1">
      <alignment wrapText="1"/>
    </xf>
    <xf numFmtId="0" fontId="2" fillId="0" borderId="8" xfId="0" applyFont="1" applyBorder="1"/>
    <xf numFmtId="0" fontId="2" fillId="0" borderId="9" xfId="0" applyFont="1" applyBorder="1"/>
    <xf numFmtId="0" fontId="1" fillId="0" borderId="10" xfId="0" applyFont="1" applyBorder="1" applyAlignment="1">
      <alignment wrapText="1"/>
    </xf>
    <xf numFmtId="0" fontId="1" fillId="0" borderId="11" xfId="0" applyFont="1" applyBorder="1"/>
    <xf numFmtId="0" fontId="1" fillId="4" borderId="13" xfId="0" applyFont="1" applyFill="1" applyBorder="1" applyAlignment="1">
      <alignment horizontal="center"/>
    </xf>
    <xf numFmtId="0" fontId="1" fillId="4" borderId="0" xfId="0" applyFont="1" applyFill="1" applyAlignment="1">
      <alignment horizontal="center"/>
    </xf>
    <xf numFmtId="0" fontId="7" fillId="0" borderId="0" xfId="0" applyFont="1"/>
    <xf numFmtId="0" fontId="2" fillId="0" borderId="7" xfId="0" applyFont="1" applyBorder="1"/>
    <xf numFmtId="0" fontId="2" fillId="4" borderId="13" xfId="0" applyFont="1" applyFill="1" applyBorder="1"/>
    <xf numFmtId="0" fontId="2" fillId="4" borderId="14" xfId="0" applyFont="1" applyFill="1" applyBorder="1"/>
    <xf numFmtId="0" fontId="2" fillId="4" borderId="15" xfId="0" applyFont="1" applyFill="1" applyBorder="1"/>
    <xf numFmtId="0" fontId="6" fillId="0" borderId="0" xfId="0" applyFont="1"/>
    <xf numFmtId="0" fontId="8" fillId="0" borderId="0" xfId="0" applyFont="1"/>
    <xf numFmtId="0" fontId="8" fillId="3" borderId="10" xfId="0" applyFont="1" applyFill="1" applyBorder="1"/>
    <xf numFmtId="0" fontId="8" fillId="3" borderId="12" xfId="0" applyFont="1" applyFill="1" applyBorder="1"/>
    <xf numFmtId="0" fontId="8" fillId="0" borderId="0" xfId="0" applyFont="1" applyAlignment="1">
      <alignment horizontal="center"/>
    </xf>
    <xf numFmtId="0" fontId="2" fillId="4" borderId="2" xfId="0" applyFont="1" applyFill="1" applyBorder="1"/>
    <xf numFmtId="0" fontId="1" fillId="4" borderId="7" xfId="0" applyFont="1" applyFill="1" applyBorder="1" applyAlignment="1">
      <alignment horizontal="center"/>
    </xf>
    <xf numFmtId="0" fontId="1" fillId="4" borderId="3" xfId="0" applyFont="1" applyFill="1" applyBorder="1" applyAlignment="1">
      <alignment horizontal="center" vertical="center" wrapText="1"/>
    </xf>
    <xf numFmtId="0" fontId="7" fillId="0" borderId="10" xfId="0" applyFont="1" applyBorder="1"/>
    <xf numFmtId="0" fontId="2" fillId="0" borderId="0" xfId="0" applyFont="1" applyAlignment="1">
      <alignment horizontal="left" wrapText="1" indent="2"/>
    </xf>
    <xf numFmtId="0" fontId="12" fillId="0" borderId="10" xfId="0" applyFont="1" applyBorder="1" applyAlignment="1">
      <alignment wrapText="1"/>
    </xf>
    <xf numFmtId="0" fontId="1" fillId="4" borderId="5" xfId="0" applyFont="1" applyFill="1" applyBorder="1" applyAlignment="1">
      <alignment horizontal="center"/>
    </xf>
    <xf numFmtId="0" fontId="2" fillId="0" borderId="0" xfId="0" quotePrefix="1" applyFont="1"/>
    <xf numFmtId="0" fontId="2" fillId="0" borderId="0" xfId="0" applyFont="1" applyAlignment="1">
      <alignment vertical="center"/>
    </xf>
    <xf numFmtId="0" fontId="1" fillId="0" borderId="10" xfId="0" applyFont="1" applyBorder="1" applyAlignment="1">
      <alignment horizontal="center"/>
    </xf>
    <xf numFmtId="0" fontId="2" fillId="0" borderId="0" xfId="0" applyFont="1" applyAlignment="1">
      <alignment horizontal="center" vertical="center" wrapText="1"/>
    </xf>
    <xf numFmtId="0" fontId="2" fillId="4" borderId="5" xfId="0" applyFont="1" applyFill="1" applyBorder="1"/>
    <xf numFmtId="0" fontId="3" fillId="0" borderId="0" xfId="0" applyFont="1"/>
    <xf numFmtId="0" fontId="2" fillId="0" borderId="0" xfId="0" applyFont="1" applyAlignment="1">
      <alignment horizontal="left" vertical="center" wrapText="1"/>
    </xf>
    <xf numFmtId="0" fontId="8" fillId="0" borderId="10" xfId="0" applyFont="1" applyBorder="1"/>
    <xf numFmtId="0" fontId="1" fillId="4" borderId="14" xfId="0" applyFont="1" applyFill="1" applyBorder="1"/>
    <xf numFmtId="0" fontId="1" fillId="4" borderId="13" xfId="0" applyFont="1" applyFill="1" applyBorder="1"/>
    <xf numFmtId="0" fontId="1" fillId="4" borderId="15" xfId="0" applyFont="1" applyFill="1" applyBorder="1"/>
    <xf numFmtId="0" fontId="13" fillId="0" borderId="0" xfId="1" applyAlignment="1" applyProtection="1"/>
    <xf numFmtId="0" fontId="5" fillId="0" borderId="5" xfId="0" applyFont="1" applyBorder="1" applyProtection="1">
      <protection locked="0"/>
    </xf>
    <xf numFmtId="0" fontId="2" fillId="0" borderId="0" xfId="0" applyFont="1" applyAlignment="1">
      <alignment horizontal="left" wrapText="1" indent="3"/>
    </xf>
    <xf numFmtId="0" fontId="11" fillId="0" borderId="0" xfId="0" applyFont="1"/>
    <xf numFmtId="0" fontId="1" fillId="0" borderId="5" xfId="0" applyFont="1" applyBorder="1" applyAlignment="1">
      <alignment horizontal="center"/>
    </xf>
    <xf numFmtId="0" fontId="12" fillId="0" borderId="0" xfId="0" applyFont="1" applyProtection="1">
      <protection locked="0"/>
    </xf>
    <xf numFmtId="0" fontId="5" fillId="0" borderId="0" xfId="0" applyFont="1" applyProtection="1">
      <protection locked="0"/>
    </xf>
    <xf numFmtId="3" fontId="5" fillId="0" borderId="0" xfId="0" applyNumberFormat="1" applyFont="1" applyProtection="1">
      <protection locked="0"/>
    </xf>
    <xf numFmtId="0" fontId="12" fillId="0" borderId="5"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5" xfId="0" applyFont="1" applyBorder="1" applyProtection="1">
      <protection locked="0"/>
    </xf>
    <xf numFmtId="3" fontId="5" fillId="0" borderId="5" xfId="0" applyNumberFormat="1" applyFont="1" applyBorder="1" applyProtection="1">
      <protection locked="0"/>
    </xf>
    <xf numFmtId="3" fontId="5" fillId="0" borderId="7" xfId="0" applyNumberFormat="1" applyFont="1" applyBorder="1" applyProtection="1">
      <protection locked="0"/>
    </xf>
    <xf numFmtId="3" fontId="5" fillId="0" borderId="8" xfId="0" applyNumberFormat="1" applyFont="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5" fillId="0" borderId="3" xfId="0" applyFont="1" applyBorder="1" applyProtection="1">
      <protection locked="0"/>
    </xf>
    <xf numFmtId="0" fontId="17" fillId="0" borderId="0" xfId="1" applyFont="1" applyAlignment="1" applyProtection="1"/>
    <xf numFmtId="0" fontId="12" fillId="0" borderId="2" xfId="0" applyFont="1" applyBorder="1" applyProtection="1">
      <protection locked="0"/>
    </xf>
    <xf numFmtId="0" fontId="5" fillId="0" borderId="2" xfId="0" applyFont="1" applyBorder="1" applyProtection="1">
      <protection locked="0"/>
    </xf>
    <xf numFmtId="0" fontId="11" fillId="0" borderId="0" xfId="0" applyFont="1" applyProtection="1">
      <protection locked="0"/>
    </xf>
    <xf numFmtId="0" fontId="3" fillId="0" borderId="0" xfId="0" applyFont="1" applyProtection="1">
      <protection locked="0"/>
    </xf>
    <xf numFmtId="14" fontId="12" fillId="0" borderId="0" xfId="0" applyNumberFormat="1" applyFont="1" applyProtection="1">
      <protection locked="0"/>
    </xf>
    <xf numFmtId="3" fontId="5" fillId="0" borderId="2" xfId="0" applyNumberFormat="1" applyFont="1" applyBorder="1" applyProtection="1">
      <protection locked="0"/>
    </xf>
    <xf numFmtId="3" fontId="5" fillId="0" borderId="3" xfId="0" applyNumberFormat="1" applyFont="1" applyBorder="1" applyProtection="1">
      <protection locked="0"/>
    </xf>
    <xf numFmtId="0" fontId="8" fillId="0" borderId="10" xfId="0" applyFont="1" applyBorder="1" applyAlignment="1">
      <alignment wrapText="1"/>
    </xf>
    <xf numFmtId="0" fontId="20" fillId="0" borderId="0" xfId="0" applyFont="1"/>
    <xf numFmtId="0" fontId="19" fillId="0" borderId="0" xfId="0" applyFont="1" applyProtection="1">
      <protection locked="0"/>
    </xf>
    <xf numFmtId="0" fontId="20" fillId="0" borderId="0" xfId="0" applyFont="1" applyProtection="1">
      <protection locked="0"/>
    </xf>
    <xf numFmtId="0" fontId="19" fillId="0" borderId="14" xfId="0" applyFont="1" applyBorder="1"/>
    <xf numFmtId="167" fontId="19" fillId="0" borderId="0" xfId="0" applyNumberFormat="1" applyFont="1" applyProtection="1">
      <protection locked="0"/>
    </xf>
    <xf numFmtId="0" fontId="19" fillId="0" borderId="14" xfId="0" applyFont="1" applyBorder="1" applyProtection="1">
      <protection locked="0"/>
    </xf>
    <xf numFmtId="0" fontId="20" fillId="0" borderId="15" xfId="0" applyFont="1" applyBorder="1"/>
    <xf numFmtId="0" fontId="20" fillId="0" borderId="10" xfId="0" applyFont="1" applyBorder="1" applyProtection="1">
      <protection locked="0"/>
    </xf>
    <xf numFmtId="167" fontId="20" fillId="0" borderId="11" xfId="0" applyNumberFormat="1" applyFont="1" applyBorder="1" applyProtection="1">
      <protection locked="0"/>
    </xf>
    <xf numFmtId="167" fontId="20" fillId="0" borderId="12" xfId="0" applyNumberFormat="1" applyFont="1" applyBorder="1" applyProtection="1">
      <protection locked="0"/>
    </xf>
    <xf numFmtId="0" fontId="7" fillId="0" borderId="0" xfId="0" applyFont="1" applyProtection="1">
      <protection locked="0"/>
    </xf>
    <xf numFmtId="0" fontId="20" fillId="0" borderId="0" xfId="0" applyFont="1" applyAlignment="1" applyProtection="1">
      <alignment horizontal="right"/>
      <protection locked="0"/>
    </xf>
    <xf numFmtId="0" fontId="20" fillId="0" borderId="14" xfId="0" applyFont="1" applyBorder="1"/>
    <xf numFmtId="0" fontId="19" fillId="0" borderId="0" xfId="0" applyFont="1"/>
    <xf numFmtId="167" fontId="26" fillId="0" borderId="0" xfId="4" applyNumberFormat="1" applyFont="1"/>
    <xf numFmtId="0" fontId="20" fillId="0" borderId="14" xfId="0" applyFont="1" applyBorder="1" applyAlignment="1">
      <alignment horizontal="center" vertical="center" wrapText="1"/>
    </xf>
    <xf numFmtId="0" fontId="1" fillId="0" borderId="13" xfId="0" applyFont="1" applyBorder="1" applyAlignment="1">
      <alignment horizontal="center"/>
    </xf>
    <xf numFmtId="0" fontId="19" fillId="0" borderId="5" xfId="0" applyFont="1" applyBorder="1"/>
    <xf numFmtId="0" fontId="19" fillId="0" borderId="5" xfId="0" applyFont="1" applyBorder="1" applyProtection="1">
      <protection locked="0"/>
    </xf>
    <xf numFmtId="0" fontId="22" fillId="0" borderId="0" xfId="1" applyFont="1" applyAlignment="1" applyProtection="1"/>
    <xf numFmtId="0" fontId="2" fillId="8" borderId="0" xfId="0" applyFont="1" applyFill="1"/>
    <xf numFmtId="0" fontId="1" fillId="8" borderId="0" xfId="0" applyFont="1" applyFill="1"/>
    <xf numFmtId="0" fontId="14" fillId="8" borderId="0" xfId="1" applyFont="1" applyFill="1" applyAlignment="1" applyProtection="1"/>
    <xf numFmtId="0" fontId="22" fillId="8" borderId="0" xfId="1" applyFont="1" applyFill="1" applyAlignment="1" applyProtection="1"/>
    <xf numFmtId="0" fontId="1" fillId="8" borderId="10" xfId="0" applyFont="1" applyFill="1" applyBorder="1"/>
    <xf numFmtId="0" fontId="28" fillId="0" borderId="0" xfId="0" applyFont="1" applyAlignment="1">
      <alignment horizontal="left" vertical="center" wrapText="1"/>
    </xf>
    <xf numFmtId="0" fontId="30" fillId="0" borderId="0" xfId="0" applyFont="1"/>
    <xf numFmtId="0" fontId="31" fillId="0" borderId="0" xfId="0" applyFont="1" applyAlignment="1">
      <alignment horizontal="justify" wrapText="1"/>
    </xf>
    <xf numFmtId="0" fontId="31" fillId="0" borderId="0" xfId="0" applyFont="1" applyAlignment="1">
      <alignment horizontal="right"/>
    </xf>
    <xf numFmtId="0" fontId="31" fillId="0" borderId="0" xfId="0" applyFont="1" applyAlignment="1">
      <alignment horizontal="right" wrapText="1"/>
    </xf>
    <xf numFmtId="0" fontId="31" fillId="0" borderId="0" xfId="0" applyFont="1"/>
    <xf numFmtId="0" fontId="31" fillId="0" borderId="0" xfId="0" applyFont="1" applyAlignment="1" applyProtection="1">
      <alignment horizontal="right"/>
      <protection locked="0"/>
    </xf>
    <xf numFmtId="0" fontId="2" fillId="7" borderId="0" xfId="0" applyFont="1" applyFill="1"/>
    <xf numFmtId="0" fontId="2" fillId="3" borderId="0" xfId="0" applyFont="1" applyFill="1"/>
    <xf numFmtId="0" fontId="2" fillId="8" borderId="2" xfId="0" applyFont="1" applyFill="1" applyBorder="1"/>
    <xf numFmtId="0" fontId="2" fillId="8" borderId="3" xfId="0" applyFont="1" applyFill="1" applyBorder="1"/>
    <xf numFmtId="0" fontId="2" fillId="8" borderId="4" xfId="0" applyFont="1" applyFill="1" applyBorder="1"/>
    <xf numFmtId="0" fontId="2" fillId="8" borderId="5" xfId="0" applyFont="1" applyFill="1" applyBorder="1"/>
    <xf numFmtId="0" fontId="2" fillId="8" borderId="6" xfId="0" applyFont="1" applyFill="1" applyBorder="1"/>
    <xf numFmtId="14" fontId="2" fillId="8" borderId="0" xfId="0" applyNumberFormat="1" applyFont="1" applyFill="1" applyProtection="1">
      <protection locked="0"/>
    </xf>
    <xf numFmtId="14" fontId="2" fillId="8" borderId="0" xfId="0" applyNumberFormat="1" applyFont="1" applyFill="1"/>
    <xf numFmtId="0" fontId="8" fillId="8" borderId="0" xfId="0" applyFont="1" applyFill="1"/>
    <xf numFmtId="0" fontId="2" fillId="8" borderId="0" xfId="0" applyFont="1" applyFill="1" applyProtection="1">
      <protection locked="0"/>
    </xf>
    <xf numFmtId="0" fontId="1" fillId="4" borderId="3" xfId="0" applyFont="1" applyFill="1" applyBorder="1" applyAlignment="1">
      <alignment horizontal="center"/>
    </xf>
    <xf numFmtId="0" fontId="1" fillId="4" borderId="4" xfId="0"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1" fillId="8" borderId="0" xfId="0" applyFont="1" applyFill="1" applyAlignment="1">
      <alignment horizontal="center"/>
    </xf>
    <xf numFmtId="0" fontId="16" fillId="0" borderId="0" xfId="0" applyFont="1" applyAlignment="1">
      <alignment wrapText="1"/>
    </xf>
    <xf numFmtId="0" fontId="14" fillId="8" borderId="0" xfId="1" applyFont="1" applyFill="1" applyAlignment="1" applyProtection="1">
      <alignment horizontal="center"/>
    </xf>
    <xf numFmtId="0" fontId="28" fillId="0" borderId="0" xfId="0" applyFont="1" applyAlignment="1">
      <alignment horizontal="center" vertical="center" wrapText="1"/>
    </xf>
    <xf numFmtId="0" fontId="35" fillId="0" borderId="0" xfId="0" applyFont="1"/>
    <xf numFmtId="0" fontId="8" fillId="8" borderId="10" xfId="0" applyFont="1" applyFill="1" applyBorder="1" applyAlignment="1">
      <alignment horizontal="center"/>
    </xf>
    <xf numFmtId="168" fontId="2" fillId="8" borderId="0" xfId="0" applyNumberFormat="1" applyFont="1" applyFill="1"/>
    <xf numFmtId="0" fontId="9" fillId="8" borderId="0" xfId="0" applyFont="1" applyFill="1"/>
    <xf numFmtId="166" fontId="0" fillId="8" borderId="0" xfId="0" applyNumberFormat="1" applyFill="1"/>
    <xf numFmtId="168" fontId="2" fillId="7" borderId="0" xfId="0" applyNumberFormat="1" applyFont="1" applyFill="1"/>
    <xf numFmtId="168" fontId="3" fillId="8" borderId="0" xfId="0" applyNumberFormat="1" applyFont="1" applyFill="1"/>
    <xf numFmtId="0" fontId="2" fillId="8" borderId="14" xfId="0" applyFont="1" applyFill="1" applyBorder="1"/>
    <xf numFmtId="0" fontId="1" fillId="8" borderId="14" xfId="0" applyFont="1" applyFill="1" applyBorder="1" applyAlignment="1">
      <alignment horizontal="center"/>
    </xf>
    <xf numFmtId="166" fontId="2" fillId="8" borderId="0" xfId="0" applyNumberFormat="1" applyFont="1" applyFill="1"/>
    <xf numFmtId="166" fontId="1" fillId="8" borderId="0" xfId="0" applyNumberFormat="1" applyFont="1" applyFill="1"/>
    <xf numFmtId="0" fontId="1" fillId="8" borderId="14" xfId="0" applyFont="1" applyFill="1" applyBorder="1"/>
    <xf numFmtId="168" fontId="1" fillId="8" borderId="0" xfId="0" applyNumberFormat="1" applyFont="1" applyFill="1"/>
    <xf numFmtId="0" fontId="2" fillId="8" borderId="0" xfId="0" applyFont="1" applyFill="1" applyAlignment="1">
      <alignment wrapText="1"/>
    </xf>
    <xf numFmtId="0" fontId="1" fillId="8" borderId="8" xfId="0" applyFont="1" applyFill="1" applyBorder="1"/>
    <xf numFmtId="0" fontId="2" fillId="8" borderId="15" xfId="0" applyFont="1" applyFill="1" applyBorder="1"/>
    <xf numFmtId="0" fontId="1" fillId="8" borderId="11" xfId="0" applyFont="1" applyFill="1" applyBorder="1"/>
    <xf numFmtId="166" fontId="2" fillId="0" borderId="0" xfId="0" applyNumberFormat="1" applyFont="1"/>
    <xf numFmtId="168" fontId="2" fillId="0" borderId="0" xfId="0" applyNumberFormat="1" applyFont="1"/>
    <xf numFmtId="165" fontId="2" fillId="0" borderId="0" xfId="0" applyNumberFormat="1" applyFont="1"/>
    <xf numFmtId="0" fontId="4" fillId="8" borderId="0" xfId="0" applyFont="1" applyFill="1"/>
    <xf numFmtId="0" fontId="3" fillId="8" borderId="11" xfId="0" applyFont="1" applyFill="1" applyBorder="1"/>
    <xf numFmtId="0" fontId="29" fillId="8" borderId="0" xfId="0" applyFont="1" applyFill="1" applyAlignment="1">
      <alignment horizontal="center"/>
    </xf>
    <xf numFmtId="0" fontId="33" fillId="8" borderId="0" xfId="0" applyFont="1" applyFill="1" applyAlignment="1">
      <alignment horizontal="center" vertical="center"/>
    </xf>
    <xf numFmtId="0" fontId="33" fillId="8" borderId="10" xfId="0" applyFont="1" applyFill="1" applyBorder="1" applyAlignment="1">
      <alignment horizontal="left" vertical="center" indent="2"/>
    </xf>
    <xf numFmtId="0" fontId="33" fillId="8" borderId="11" xfId="0" applyFont="1" applyFill="1" applyBorder="1" applyAlignment="1">
      <alignment horizontal="center" vertical="center"/>
    </xf>
    <xf numFmtId="0" fontId="33" fillId="8" borderId="0" xfId="0" applyFont="1" applyFill="1" applyAlignment="1">
      <alignment horizontal="left" vertical="center" indent="2"/>
    </xf>
    <xf numFmtId="0" fontId="29" fillId="8" borderId="14" xfId="0" applyFont="1" applyFill="1" applyBorder="1" applyAlignment="1">
      <alignment horizontal="left" vertical="center" wrapText="1"/>
    </xf>
    <xf numFmtId="0" fontId="29" fillId="8" borderId="14" xfId="0" applyFont="1" applyFill="1" applyBorder="1" applyAlignment="1">
      <alignment horizontal="center" vertical="center" wrapText="1"/>
    </xf>
    <xf numFmtId="0" fontId="28" fillId="8" borderId="14" xfId="0" applyFont="1" applyFill="1" applyBorder="1" applyAlignment="1">
      <alignment horizontal="left" vertical="center" wrapText="1"/>
    </xf>
    <xf numFmtId="0" fontId="28" fillId="8" borderId="14" xfId="0" applyFont="1" applyFill="1" applyBorder="1" applyAlignment="1">
      <alignment horizontal="center" vertical="center" wrapText="1"/>
    </xf>
    <xf numFmtId="0" fontId="32" fillId="8" borderId="14" xfId="0" applyFont="1" applyFill="1" applyBorder="1" applyAlignment="1">
      <alignment horizontal="left" vertical="center" wrapText="1"/>
    </xf>
    <xf numFmtId="0" fontId="29" fillId="8" borderId="2" xfId="0" applyFont="1" applyFill="1" applyBorder="1" applyAlignment="1">
      <alignment horizontal="left" vertical="center" wrapText="1" indent="1"/>
    </xf>
    <xf numFmtId="0" fontId="29" fillId="8" borderId="3" xfId="0" applyFont="1" applyFill="1" applyBorder="1" applyAlignment="1">
      <alignment horizontal="center" vertical="center" wrapText="1"/>
    </xf>
    <xf numFmtId="0" fontId="28" fillId="8" borderId="5" xfId="0" applyFont="1" applyFill="1" applyBorder="1" applyAlignment="1">
      <alignment horizontal="left" vertical="center" wrapText="1" indent="3"/>
    </xf>
    <xf numFmtId="0" fontId="28" fillId="8" borderId="0" xfId="0" applyFont="1" applyFill="1" applyAlignment="1">
      <alignment horizontal="center" vertical="center" wrapText="1"/>
    </xf>
    <xf numFmtId="0" fontId="28" fillId="8" borderId="0" xfId="0" applyFont="1" applyFill="1"/>
    <xf numFmtId="0" fontId="28" fillId="8" borderId="0" xfId="0" applyFont="1" applyFill="1" applyAlignment="1">
      <alignment horizontal="center"/>
    </xf>
    <xf numFmtId="0" fontId="28" fillId="0" borderId="0" xfId="0" applyFont="1"/>
    <xf numFmtId="0" fontId="28" fillId="8" borderId="8" xfId="0" applyFont="1" applyFill="1" applyBorder="1"/>
    <xf numFmtId="0" fontId="28" fillId="8" borderId="8" xfId="0" applyFont="1" applyFill="1" applyBorder="1" applyAlignment="1">
      <alignment horizontal="center"/>
    </xf>
    <xf numFmtId="0" fontId="1" fillId="3" borderId="1" xfId="0" applyFont="1" applyFill="1" applyBorder="1"/>
    <xf numFmtId="167" fontId="33" fillId="8" borderId="0" xfId="5" applyNumberFormat="1" applyFont="1" applyFill="1">
      <alignment vertical="center"/>
    </xf>
    <xf numFmtId="3" fontId="28" fillId="8" borderId="0" xfId="0" applyNumberFormat="1" applyFont="1" applyFill="1"/>
    <xf numFmtId="0" fontId="28" fillId="0" borderId="0" xfId="0" applyFont="1" applyAlignment="1">
      <alignment horizontal="center"/>
    </xf>
    <xf numFmtId="3" fontId="28" fillId="0" borderId="0" xfId="0" applyNumberFormat="1" applyFont="1"/>
    <xf numFmtId="0" fontId="2" fillId="8" borderId="0" xfId="0" applyFont="1" applyFill="1" applyProtection="1">
      <protection hidden="1"/>
    </xf>
    <xf numFmtId="0" fontId="28" fillId="0" borderId="0" xfId="0" applyFont="1" applyProtection="1">
      <protection hidden="1"/>
    </xf>
    <xf numFmtId="0" fontId="28" fillId="8" borderId="0" xfId="0" applyFont="1" applyFill="1" applyProtection="1">
      <protection hidden="1"/>
    </xf>
    <xf numFmtId="0" fontId="6" fillId="8" borderId="0" xfId="0" applyFont="1" applyFill="1"/>
    <xf numFmtId="0" fontId="13" fillId="8" borderId="0" xfId="1" applyFill="1" applyAlignment="1" applyProtection="1"/>
    <xf numFmtId="0" fontId="30" fillId="8" borderId="0" xfId="0" applyFont="1" applyFill="1"/>
    <xf numFmtId="0" fontId="2" fillId="8" borderId="0" xfId="0" applyFont="1" applyFill="1" applyAlignment="1" applyProtection="1">
      <alignment horizontal="center"/>
      <protection locked="0"/>
    </xf>
    <xf numFmtId="14" fontId="2" fillId="8" borderId="0" xfId="0" applyNumberFormat="1" applyFont="1" applyFill="1" applyAlignment="1" applyProtection="1">
      <alignment horizontal="center"/>
      <protection locked="0"/>
    </xf>
    <xf numFmtId="10" fontId="2" fillId="8" borderId="0" xfId="6" applyNumberFormat="1" applyFont="1" applyFill="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8" xfId="0" applyFont="1" applyBorder="1" applyProtection="1">
      <protection locked="0"/>
    </xf>
    <xf numFmtId="0" fontId="2" fillId="0" borderId="0" xfId="0" applyFont="1" applyAlignment="1" applyProtection="1">
      <alignment wrapText="1"/>
      <protection locked="0"/>
    </xf>
    <xf numFmtId="0" fontId="20" fillId="0" borderId="10" xfId="0" applyFont="1" applyBorder="1"/>
    <xf numFmtId="0" fontId="1" fillId="2" borderId="15" xfId="0" applyFont="1" applyFill="1" applyBorder="1" applyAlignment="1">
      <alignment horizontal="center"/>
    </xf>
    <xf numFmtId="14" fontId="1" fillId="2" borderId="14" xfId="0" applyNumberFormat="1" applyFont="1" applyFill="1" applyBorder="1" applyAlignment="1">
      <alignment horizontal="center"/>
    </xf>
    <xf numFmtId="0" fontId="8" fillId="2" borderId="13" xfId="0" applyFont="1" applyFill="1" applyBorder="1" applyAlignment="1">
      <alignment horizontal="center"/>
    </xf>
    <xf numFmtId="0" fontId="2" fillId="0" borderId="0" xfId="0" applyFont="1" applyAlignment="1">
      <alignment horizontal="center"/>
    </xf>
    <xf numFmtId="0" fontId="7" fillId="8" borderId="0" xfId="0" applyFont="1" applyFill="1"/>
    <xf numFmtId="14" fontId="8" fillId="3" borderId="11" xfId="0" applyNumberFormat="1" applyFont="1" applyFill="1" applyBorder="1"/>
    <xf numFmtId="0" fontId="8" fillId="4" borderId="2" xfId="0" applyFont="1" applyFill="1" applyBorder="1" applyAlignment="1">
      <alignment horizont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4" borderId="7" xfId="0" applyFont="1" applyFill="1" applyBorder="1"/>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8" fillId="8" borderId="0" xfId="0" applyFont="1" applyFill="1" applyAlignment="1">
      <alignment horizontal="center"/>
    </xf>
    <xf numFmtId="0" fontId="8" fillId="3" borderId="11" xfId="0" applyFont="1" applyFill="1" applyBorder="1" applyAlignment="1">
      <alignment horizontal="right"/>
    </xf>
    <xf numFmtId="0" fontId="8" fillId="3" borderId="12" xfId="0" applyFont="1" applyFill="1" applyBorder="1" applyAlignment="1">
      <alignment horizontal="right"/>
    </xf>
    <xf numFmtId="0" fontId="7" fillId="8" borderId="10" xfId="0" applyFont="1" applyFill="1" applyBorder="1"/>
    <xf numFmtId="0" fontId="7" fillId="8" borderId="11" xfId="0" applyFont="1" applyFill="1" applyBorder="1"/>
    <xf numFmtId="0" fontId="10" fillId="8" borderId="11" xfId="0" applyFont="1" applyFill="1" applyBorder="1"/>
    <xf numFmtId="0" fontId="0" fillId="8" borderId="0" xfId="0" applyFill="1"/>
    <xf numFmtId="0" fontId="7" fillId="4" borderId="2" xfId="0" applyFont="1" applyFill="1" applyBorder="1"/>
    <xf numFmtId="169" fontId="7" fillId="8" borderId="0" xfId="0" applyNumberFormat="1" applyFont="1" applyFill="1"/>
    <xf numFmtId="0" fontId="8" fillId="8" borderId="0" xfId="0" applyFont="1" applyFill="1" applyAlignment="1">
      <alignment horizontal="right"/>
    </xf>
    <xf numFmtId="169" fontId="8" fillId="8" borderId="0" xfId="0" applyNumberFormat="1" applyFont="1" applyFill="1" applyAlignment="1">
      <alignment horizontal="right"/>
    </xf>
    <xf numFmtId="0" fontId="8" fillId="3" borderId="7" xfId="0" applyFont="1" applyFill="1" applyBorder="1"/>
    <xf numFmtId="0" fontId="8" fillId="3" borderId="8" xfId="0" applyFont="1" applyFill="1" applyBorder="1" applyAlignment="1">
      <alignment horizontal="right"/>
    </xf>
    <xf numFmtId="0" fontId="8" fillId="3" borderId="9" xfId="0" applyFont="1" applyFill="1" applyBorder="1" applyAlignment="1">
      <alignment horizontal="right"/>
    </xf>
    <xf numFmtId="0" fontId="1" fillId="8" borderId="3" xfId="0" applyFont="1" applyFill="1" applyBorder="1" applyAlignment="1">
      <alignment horizontal="center"/>
    </xf>
    <xf numFmtId="14" fontId="1" fillId="4" borderId="15" xfId="0" applyNumberFormat="1" applyFont="1" applyFill="1" applyBorder="1" applyAlignment="1">
      <alignment horizontal="center"/>
    </xf>
    <xf numFmtId="14" fontId="1" fillId="8" borderId="8" xfId="0" applyNumberFormat="1" applyFont="1" applyFill="1" applyBorder="1" applyAlignment="1">
      <alignment horizontal="center"/>
    </xf>
    <xf numFmtId="0" fontId="8" fillId="4" borderId="2" xfId="0" applyFont="1" applyFill="1" applyBorder="1" applyAlignment="1">
      <alignment horizontal="center"/>
    </xf>
    <xf numFmtId="0" fontId="8" fillId="4" borderId="2" xfId="0" applyFont="1" applyFill="1" applyBorder="1" applyAlignment="1">
      <alignment horizontal="center" vertical="center" wrapText="1"/>
    </xf>
    <xf numFmtId="0" fontId="8" fillId="4" borderId="7" xfId="0" applyFont="1" applyFill="1" applyBorder="1" applyAlignment="1">
      <alignment horizontal="center" wrapText="1"/>
    </xf>
    <xf numFmtId="0" fontId="1" fillId="3" borderId="10" xfId="0" applyFont="1" applyFill="1" applyBorder="1" applyAlignment="1">
      <alignment horizontal="center" wrapText="1"/>
    </xf>
    <xf numFmtId="0" fontId="1" fillId="8" borderId="13" xfId="0" applyFont="1" applyFill="1" applyBorder="1"/>
    <xf numFmtId="0" fontId="1" fillId="8" borderId="3" xfId="0" applyFont="1" applyFill="1" applyBorder="1"/>
    <xf numFmtId="0" fontId="1" fillId="8" borderId="2" xfId="0" applyFont="1" applyFill="1" applyBorder="1"/>
    <xf numFmtId="0" fontId="7" fillId="4" borderId="5" xfId="0" applyFont="1" applyFill="1" applyBorder="1"/>
    <xf numFmtId="0" fontId="8" fillId="4" borderId="7" xfId="0" applyFont="1" applyFill="1" applyBorder="1" applyAlignment="1">
      <alignment horizontal="center"/>
    </xf>
    <xf numFmtId="0" fontId="8" fillId="4" borderId="9" xfId="0" applyFont="1" applyFill="1" applyBorder="1" applyAlignment="1">
      <alignment horizontal="center"/>
    </xf>
    <xf numFmtId="0" fontId="7" fillId="8" borderId="5" xfId="0" applyFont="1" applyFill="1" applyBorder="1"/>
    <xf numFmtId="0" fontId="7" fillId="8" borderId="6" xfId="0" applyFont="1" applyFill="1" applyBorder="1"/>
    <xf numFmtId="0" fontId="8" fillId="8" borderId="5" xfId="0" applyFont="1" applyFill="1" applyBorder="1"/>
    <xf numFmtId="0" fontId="8" fillId="8" borderId="6" xfId="0" applyFont="1" applyFill="1" applyBorder="1"/>
    <xf numFmtId="0" fontId="8" fillId="3" borderId="10" xfId="0" applyFont="1" applyFill="1" applyBorder="1" applyAlignment="1">
      <alignment horizontal="center"/>
    </xf>
    <xf numFmtId="0" fontId="8" fillId="3" borderId="11" xfId="0" applyFont="1" applyFill="1" applyBorder="1"/>
    <xf numFmtId="0" fontId="2" fillId="4" borderId="0" xfId="0" applyFont="1" applyFill="1" applyProtection="1">
      <protection locked="0"/>
    </xf>
    <xf numFmtId="0" fontId="7" fillId="0" borderId="11" xfId="0" applyFont="1" applyBorder="1"/>
    <xf numFmtId="0" fontId="10" fillId="0" borderId="11" xfId="0" applyFont="1" applyBorder="1"/>
    <xf numFmtId="0" fontId="10" fillId="0" borderId="12" xfId="0" applyFont="1" applyBorder="1"/>
    <xf numFmtId="0" fontId="9" fillId="0" borderId="0" xfId="0" applyFont="1"/>
    <xf numFmtId="14" fontId="6" fillId="0" borderId="0" xfId="0" applyNumberFormat="1" applyFont="1"/>
    <xf numFmtId="0" fontId="1" fillId="4" borderId="2" xfId="0" applyFont="1" applyFill="1" applyBorder="1"/>
    <xf numFmtId="0" fontId="1" fillId="4" borderId="7" xfId="0" applyFont="1" applyFill="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center"/>
    </xf>
    <xf numFmtId="0" fontId="1" fillId="0" borderId="2" xfId="0" applyFont="1" applyBorder="1"/>
    <xf numFmtId="0" fontId="2" fillId="0" borderId="3" xfId="0" applyFont="1" applyBorder="1" applyAlignment="1">
      <alignment horizontal="center"/>
    </xf>
    <xf numFmtId="0" fontId="3" fillId="0" borderId="4" xfId="0" applyFont="1" applyBorder="1"/>
    <xf numFmtId="0" fontId="2" fillId="0" borderId="11" xfId="0" applyFont="1" applyBorder="1" applyAlignment="1">
      <alignment horizontal="center"/>
    </xf>
    <xf numFmtId="0" fontId="2" fillId="0" borderId="12" xfId="0" applyFont="1" applyBorder="1"/>
    <xf numFmtId="0" fontId="2" fillId="0" borderId="0" xfId="0" applyFont="1" applyAlignment="1" applyProtection="1">
      <alignment horizontal="left" vertical="center" wrapText="1"/>
      <protection locked="0"/>
    </xf>
    <xf numFmtId="0" fontId="1" fillId="0" borderId="0" xfId="0" applyFont="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xf>
    <xf numFmtId="0" fontId="21" fillId="0" borderId="0" xfId="0" applyFont="1"/>
    <xf numFmtId="0" fontId="7" fillId="0" borderId="0" xfId="0" applyFont="1" applyAlignment="1">
      <alignment horizontal="left" indent="1"/>
    </xf>
    <xf numFmtId="0" fontId="8" fillId="4" borderId="10" xfId="0" applyFont="1" applyFill="1" applyBorder="1"/>
    <xf numFmtId="0" fontId="8" fillId="4" borderId="11" xfId="0" applyFont="1" applyFill="1" applyBorder="1"/>
    <xf numFmtId="0" fontId="1" fillId="4" borderId="5" xfId="0" applyFont="1" applyFill="1" applyBorder="1"/>
    <xf numFmtId="0" fontId="1" fillId="4" borderId="8"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9" xfId="0" applyFont="1" applyFill="1" applyBorder="1" applyAlignment="1">
      <alignment horizontal="center" wrapText="1"/>
    </xf>
    <xf numFmtId="0" fontId="34" fillId="0" borderId="0" xfId="0" applyFont="1" applyAlignment="1">
      <alignment wrapText="1"/>
    </xf>
    <xf numFmtId="0" fontId="37" fillId="8" borderId="5" xfId="0" applyFont="1" applyFill="1" applyBorder="1" applyAlignment="1">
      <alignment horizontal="justify" wrapText="1"/>
    </xf>
    <xf numFmtId="0" fontId="37" fillId="8" borderId="7" xfId="0" applyFont="1" applyFill="1" applyBorder="1" applyAlignment="1">
      <alignment horizontal="justify" wrapText="1"/>
    </xf>
    <xf numFmtId="0" fontId="36" fillId="8" borderId="8" xfId="0" applyFont="1" applyFill="1" applyBorder="1" applyAlignment="1">
      <alignment horizontal="right" wrapText="1"/>
    </xf>
    <xf numFmtId="0" fontId="36" fillId="8" borderId="9" xfId="0" applyFont="1" applyFill="1" applyBorder="1" applyAlignment="1">
      <alignment horizontal="right" wrapText="1"/>
    </xf>
    <xf numFmtId="0" fontId="36" fillId="8" borderId="5" xfId="0" applyFont="1" applyFill="1" applyBorder="1" applyAlignment="1">
      <alignment horizontal="justify" wrapText="1"/>
    </xf>
    <xf numFmtId="0" fontId="37" fillId="8" borderId="2" xfId="0" applyFont="1" applyFill="1" applyBorder="1" applyAlignment="1">
      <alignment horizontal="justify" wrapText="1"/>
    </xf>
    <xf numFmtId="0" fontId="37" fillId="8" borderId="3" xfId="0" applyFont="1" applyFill="1" applyBorder="1" applyAlignment="1">
      <alignment horizontal="right" wrapText="1"/>
    </xf>
    <xf numFmtId="0" fontId="37" fillId="8" borderId="4" xfId="0" applyFont="1" applyFill="1" applyBorder="1" applyAlignment="1">
      <alignment horizontal="right" wrapText="1"/>
    </xf>
    <xf numFmtId="0" fontId="36" fillId="8" borderId="5" xfId="0" applyFont="1" applyFill="1" applyBorder="1"/>
    <xf numFmtId="0" fontId="36" fillId="8" borderId="5" xfId="0" applyFont="1" applyFill="1" applyBorder="1" applyAlignment="1">
      <alignment wrapText="1"/>
    </xf>
    <xf numFmtId="0" fontId="37" fillId="0" borderId="0" xfId="0" applyFont="1" applyAlignment="1">
      <alignment horizontal="center" wrapText="1"/>
    </xf>
    <xf numFmtId="0" fontId="38" fillId="0" borderId="0" xfId="0" applyFont="1" applyProtection="1">
      <protection locked="0"/>
    </xf>
    <xf numFmtId="0" fontId="38" fillId="0" borderId="14" xfId="0" applyFont="1" applyBorder="1" applyProtection="1">
      <protection locked="0"/>
    </xf>
    <xf numFmtId="0" fontId="38" fillId="0" borderId="6" xfId="0" applyFont="1" applyBorder="1" applyProtection="1">
      <protection locked="0"/>
    </xf>
    <xf numFmtId="0" fontId="38" fillId="0" borderId="15" xfId="0" applyFont="1" applyBorder="1" applyProtection="1">
      <protection locked="0"/>
    </xf>
    <xf numFmtId="0" fontId="5" fillId="0" borderId="0" xfId="0" applyFont="1"/>
    <xf numFmtId="0" fontId="12" fillId="0" borderId="10" xfId="0" applyFont="1" applyBorder="1" applyProtection="1">
      <protection locked="0"/>
    </xf>
    <xf numFmtId="0" fontId="5" fillId="0" borderId="10" xfId="0" applyFont="1" applyBorder="1" applyProtection="1">
      <protection locked="0"/>
    </xf>
    <xf numFmtId="0" fontId="5" fillId="0" borderId="11" xfId="0" applyFont="1" applyBorder="1" applyProtection="1">
      <protection locked="0"/>
    </xf>
    <xf numFmtId="0" fontId="12" fillId="0" borderId="11"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3" fillId="8" borderId="0" xfId="1" applyFill="1" applyAlignment="1" applyProtection="1">
      <alignment horizontal="center"/>
    </xf>
    <xf numFmtId="165" fontId="2" fillId="8" borderId="14" xfId="0" applyNumberFormat="1" applyFont="1" applyFill="1" applyBorder="1" applyProtection="1">
      <protection locked="0"/>
    </xf>
    <xf numFmtId="165" fontId="2" fillId="8" borderId="0" xfId="0" applyNumberFormat="1" applyFont="1" applyFill="1" applyProtection="1">
      <protection locked="0"/>
    </xf>
    <xf numFmtId="165" fontId="1" fillId="8" borderId="14" xfId="0" applyNumberFormat="1" applyFont="1" applyFill="1" applyBorder="1" applyProtection="1">
      <protection locked="0"/>
    </xf>
    <xf numFmtId="165" fontId="2" fillId="8" borderId="14" xfId="0" applyNumberFormat="1" applyFont="1" applyFill="1" applyBorder="1"/>
    <xf numFmtId="165" fontId="2" fillId="8" borderId="14" xfId="0" applyNumberFormat="1" applyFont="1" applyFill="1" applyBorder="1" applyAlignment="1" applyProtection="1">
      <alignment vertical="center"/>
      <protection locked="0"/>
    </xf>
    <xf numFmtId="165" fontId="1" fillId="8" borderId="15" xfId="0" applyNumberFormat="1" applyFont="1" applyFill="1" applyBorder="1"/>
    <xf numFmtId="165" fontId="1" fillId="8" borderId="14" xfId="0" applyNumberFormat="1" applyFont="1" applyFill="1" applyBorder="1"/>
    <xf numFmtId="165" fontId="1" fillId="8" borderId="0" xfId="0" applyNumberFormat="1" applyFont="1" applyFill="1"/>
    <xf numFmtId="165" fontId="1" fillId="8" borderId="14" xfId="0" applyNumberFormat="1" applyFont="1" applyFill="1" applyBorder="1" applyAlignment="1">
      <alignment horizontal="right" vertical="center"/>
    </xf>
    <xf numFmtId="165" fontId="2" fillId="8" borderId="0" xfId="0" applyNumberFormat="1" applyFont="1" applyFill="1"/>
    <xf numFmtId="165" fontId="3" fillId="8" borderId="11" xfId="0" applyNumberFormat="1" applyFont="1" applyFill="1" applyBorder="1"/>
    <xf numFmtId="165" fontId="28" fillId="8" borderId="14" xfId="0" applyNumberFormat="1" applyFont="1" applyFill="1" applyBorder="1" applyProtection="1">
      <protection locked="0"/>
    </xf>
    <xf numFmtId="165" fontId="28" fillId="8" borderId="6" xfId="0" applyNumberFormat="1" applyFont="1" applyFill="1" applyBorder="1" applyProtection="1">
      <protection locked="0"/>
    </xf>
    <xf numFmtId="165" fontId="28" fillId="8" borderId="15" xfId="0" applyNumberFormat="1" applyFont="1" applyFill="1" applyBorder="1" applyProtection="1">
      <protection locked="0"/>
    </xf>
    <xf numFmtId="165" fontId="28" fillId="8" borderId="7" xfId="0" applyNumberFormat="1" applyFont="1" applyFill="1" applyBorder="1" applyProtection="1">
      <protection locked="0"/>
    </xf>
    <xf numFmtId="165" fontId="28" fillId="8" borderId="13" xfId="0" applyNumberFormat="1" applyFont="1" applyFill="1" applyBorder="1" applyProtection="1">
      <protection locked="0"/>
    </xf>
    <xf numFmtId="165" fontId="28" fillId="0" borderId="0" xfId="0" applyNumberFormat="1" applyFont="1" applyProtection="1">
      <protection locked="0"/>
    </xf>
    <xf numFmtId="165" fontId="28" fillId="8" borderId="3" xfId="5" applyNumberFormat="1" applyFont="1" applyFill="1" applyBorder="1" applyProtection="1">
      <alignment vertical="center"/>
      <protection locked="0"/>
    </xf>
    <xf numFmtId="165" fontId="28" fillId="8" borderId="4" xfId="5" applyNumberFormat="1" applyFont="1" applyFill="1" applyBorder="1" applyProtection="1">
      <alignment vertical="center"/>
      <protection locked="0"/>
    </xf>
    <xf numFmtId="165" fontId="28" fillId="8" borderId="0" xfId="5" applyNumberFormat="1" applyFont="1" applyFill="1" applyProtection="1">
      <alignment vertical="center"/>
      <protection locked="0"/>
    </xf>
    <xf numFmtId="165" fontId="28" fillId="8" borderId="6" xfId="5" applyNumberFormat="1" applyFont="1" applyFill="1" applyBorder="1" applyProtection="1">
      <alignment vertical="center"/>
      <protection locked="0"/>
    </xf>
    <xf numFmtId="165" fontId="33" fillId="8" borderId="11" xfId="5" applyNumberFormat="1" applyFont="1" applyFill="1" applyBorder="1" applyProtection="1">
      <alignment vertical="center"/>
      <protection locked="0"/>
    </xf>
    <xf numFmtId="165" fontId="33" fillId="8" borderId="12" xfId="5" applyNumberFormat="1" applyFont="1" applyFill="1" applyBorder="1" applyProtection="1">
      <alignment vertical="center"/>
      <protection locked="0"/>
    </xf>
    <xf numFmtId="165" fontId="2" fillId="0" borderId="0" xfId="0" applyNumberFormat="1" applyFont="1" applyProtection="1">
      <protection locked="0"/>
    </xf>
    <xf numFmtId="165" fontId="1" fillId="0" borderId="0" xfId="0" applyNumberFormat="1" applyFont="1"/>
    <xf numFmtId="165" fontId="3" fillId="0" borderId="11" xfId="0" applyNumberFormat="1" applyFont="1" applyBorder="1"/>
    <xf numFmtId="165" fontId="3" fillId="0" borderId="12" xfId="0" applyNumberFormat="1" applyFont="1" applyBorder="1"/>
    <xf numFmtId="165" fontId="1" fillId="0" borderId="5" xfId="0" applyNumberFormat="1" applyFont="1" applyBorder="1" applyAlignment="1" applyProtection="1">
      <alignment horizontal="center"/>
      <protection locked="0"/>
    </xf>
    <xf numFmtId="165" fontId="2" fillId="0" borderId="6" xfId="0" applyNumberFormat="1" applyFont="1" applyBorder="1" applyProtection="1">
      <protection locked="0"/>
    </xf>
    <xf numFmtId="165" fontId="2" fillId="0" borderId="5" xfId="0" applyNumberFormat="1" applyFont="1" applyBorder="1" applyProtection="1">
      <protection locked="0"/>
    </xf>
    <xf numFmtId="165" fontId="1" fillId="0" borderId="0" xfId="0" applyNumberFormat="1" applyFont="1" applyProtection="1">
      <protection locked="0"/>
    </xf>
    <xf numFmtId="165" fontId="1" fillId="4" borderId="11" xfId="0" applyNumberFormat="1" applyFont="1" applyFill="1" applyBorder="1" applyProtection="1">
      <protection locked="0"/>
    </xf>
    <xf numFmtId="0" fontId="40" fillId="0" borderId="0" xfId="0" applyFont="1" applyAlignment="1">
      <alignment horizontal="right" wrapText="1"/>
    </xf>
    <xf numFmtId="0" fontId="40" fillId="0" borderId="0" xfId="0" applyFont="1" applyAlignment="1">
      <alignment horizontal="justify" wrapText="1"/>
    </xf>
    <xf numFmtId="0" fontId="41"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3" fontId="2" fillId="8" borderId="0" xfId="0" applyNumberFormat="1" applyFont="1" applyFill="1" applyProtection="1">
      <protection locked="0"/>
    </xf>
    <xf numFmtId="165" fontId="2" fillId="5" borderId="14" xfId="0" applyNumberFormat="1" applyFont="1" applyFill="1" applyBorder="1"/>
    <xf numFmtId="165" fontId="2" fillId="5" borderId="0" xfId="0" applyNumberFormat="1" applyFont="1" applyFill="1"/>
    <xf numFmtId="165" fontId="2" fillId="8" borderId="14" xfId="0" applyNumberFormat="1" applyFont="1" applyFill="1" applyBorder="1" applyAlignment="1" applyProtection="1">
      <alignment horizontal="right" vertical="center"/>
      <protection locked="0"/>
    </xf>
    <xf numFmtId="165" fontId="2" fillId="8" borderId="0" xfId="0" applyNumberFormat="1" applyFont="1" applyFill="1" applyAlignment="1" applyProtection="1">
      <alignment horizontal="right" vertical="center"/>
      <protection locked="0"/>
    </xf>
    <xf numFmtId="165" fontId="2" fillId="8" borderId="14" xfId="0" applyNumberFormat="1" applyFont="1" applyFill="1" applyBorder="1" applyAlignment="1">
      <alignment horizontal="right" vertical="center"/>
    </xf>
    <xf numFmtId="165" fontId="3" fillId="8" borderId="12" xfId="0" applyNumberFormat="1" applyFont="1" applyFill="1" applyBorder="1"/>
    <xf numFmtId="165" fontId="7" fillId="0" borderId="0" xfId="0" applyNumberFormat="1" applyFont="1" applyProtection="1">
      <protection locked="0"/>
    </xf>
    <xf numFmtId="165" fontId="2" fillId="8" borderId="0" xfId="0" applyNumberFormat="1" applyFont="1" applyFill="1" applyAlignment="1" applyProtection="1">
      <alignment horizontal="center"/>
      <protection locked="0"/>
    </xf>
    <xf numFmtId="3" fontId="2" fillId="8" borderId="5" xfId="0" applyNumberFormat="1" applyFont="1" applyFill="1" applyBorder="1" applyProtection="1">
      <protection locked="0"/>
    </xf>
    <xf numFmtId="3" fontId="2" fillId="8" borderId="6" xfId="0" applyNumberFormat="1" applyFont="1" applyFill="1" applyBorder="1" applyProtection="1">
      <protection locked="0"/>
    </xf>
    <xf numFmtId="3" fontId="3" fillId="8" borderId="11" xfId="0" applyNumberFormat="1" applyFont="1" applyFill="1" applyBorder="1" applyProtection="1">
      <protection locked="0"/>
    </xf>
    <xf numFmtId="3" fontId="3" fillId="8" borderId="10" xfId="0" applyNumberFormat="1" applyFont="1" applyFill="1" applyBorder="1" applyProtection="1">
      <protection locked="0"/>
    </xf>
    <xf numFmtId="165" fontId="7" fillId="0" borderId="0" xfId="0" applyNumberFormat="1" applyFont="1"/>
    <xf numFmtId="165" fontId="10" fillId="0" borderId="11" xfId="0" applyNumberFormat="1" applyFont="1" applyBorder="1"/>
    <xf numFmtId="165" fontId="8" fillId="3" borderId="11" xfId="0" applyNumberFormat="1" applyFont="1" applyFill="1" applyBorder="1" applyProtection="1">
      <protection locked="0"/>
    </xf>
    <xf numFmtId="3" fontId="2" fillId="0" borderId="5" xfId="0" applyNumberFormat="1" applyFont="1" applyBorder="1" applyProtection="1">
      <protection locked="0"/>
    </xf>
    <xf numFmtId="3" fontId="2" fillId="0" borderId="6" xfId="0" applyNumberFormat="1" applyFont="1" applyBorder="1" applyProtection="1">
      <protection locked="0"/>
    </xf>
    <xf numFmtId="3" fontId="2" fillId="0" borderId="0" xfId="0" applyNumberFormat="1" applyFont="1" applyProtection="1">
      <protection locked="0"/>
    </xf>
    <xf numFmtId="165" fontId="1" fillId="0" borderId="11" xfId="0" applyNumberFormat="1" applyFont="1" applyBorder="1"/>
    <xf numFmtId="165" fontId="2" fillId="0" borderId="2" xfId="0" applyNumberFormat="1" applyFont="1" applyBorder="1" applyProtection="1">
      <protection locked="0"/>
    </xf>
    <xf numFmtId="165" fontId="2" fillId="0" borderId="4" xfId="0" applyNumberFormat="1" applyFont="1" applyBorder="1" applyProtection="1">
      <protection locked="0"/>
    </xf>
    <xf numFmtId="165" fontId="2" fillId="0" borderId="11" xfId="0" applyNumberFormat="1" applyFont="1" applyBorder="1"/>
    <xf numFmtId="165" fontId="2" fillId="0" borderId="12" xfId="0" applyNumberFormat="1" applyFont="1" applyBorder="1"/>
    <xf numFmtId="165" fontId="1" fillId="0" borderId="5" xfId="0" applyNumberFormat="1" applyFont="1" applyBorder="1" applyProtection="1">
      <protection locked="0"/>
    </xf>
    <xf numFmtId="165" fontId="1" fillId="0" borderId="6" xfId="0" applyNumberFormat="1" applyFont="1" applyBorder="1" applyProtection="1">
      <protection locked="0"/>
    </xf>
    <xf numFmtId="165" fontId="1" fillId="0" borderId="5" xfId="0" applyNumberFormat="1" applyFont="1" applyBorder="1"/>
    <xf numFmtId="165" fontId="2" fillId="0" borderId="6" xfId="0" applyNumberFormat="1" applyFont="1" applyBorder="1"/>
    <xf numFmtId="165" fontId="1" fillId="0" borderId="6" xfId="0" applyNumberFormat="1" applyFont="1" applyBorder="1"/>
    <xf numFmtId="165" fontId="1" fillId="0" borderId="10" xfId="0" applyNumberFormat="1" applyFont="1" applyBorder="1"/>
    <xf numFmtId="165" fontId="2" fillId="4" borderId="0" xfId="0" applyNumberFormat="1" applyFont="1" applyFill="1" applyProtection="1">
      <protection locked="0"/>
    </xf>
    <xf numFmtId="0" fontId="12" fillId="3" borderId="10" xfId="0" applyFont="1" applyFill="1" applyBorder="1" applyProtection="1">
      <protection locked="0"/>
    </xf>
    <xf numFmtId="165" fontId="12" fillId="3" borderId="11" xfId="0" applyNumberFormat="1" applyFont="1" applyFill="1" applyBorder="1" applyProtection="1">
      <protection locked="0"/>
    </xf>
    <xf numFmtId="165" fontId="12" fillId="3" borderId="12" xfId="0" applyNumberFormat="1" applyFont="1" applyFill="1" applyBorder="1" applyProtection="1">
      <protection locked="0"/>
    </xf>
    <xf numFmtId="165" fontId="1" fillId="4" borderId="12" xfId="0" applyNumberFormat="1" applyFont="1" applyFill="1" applyBorder="1" applyProtection="1">
      <protection locked="0"/>
    </xf>
    <xf numFmtId="165" fontId="12" fillId="0" borderId="0" xfId="0" applyNumberFormat="1" applyFont="1" applyProtection="1">
      <protection locked="0"/>
    </xf>
    <xf numFmtId="165" fontId="2" fillId="0" borderId="5" xfId="0" applyNumberFormat="1" applyFont="1" applyBorder="1"/>
    <xf numFmtId="165" fontId="2" fillId="0" borderId="14" xfId="0" applyNumberFormat="1" applyFont="1" applyBorder="1"/>
    <xf numFmtId="165" fontId="19" fillId="0" borderId="0" xfId="0" applyNumberFormat="1" applyFont="1" applyProtection="1">
      <protection locked="0"/>
    </xf>
    <xf numFmtId="165" fontId="19" fillId="0" borderId="13" xfId="0" applyNumberFormat="1" applyFont="1" applyBorder="1"/>
    <xf numFmtId="165" fontId="19" fillId="0" borderId="14" xfId="0" applyNumberFormat="1" applyFont="1" applyBorder="1"/>
    <xf numFmtId="165" fontId="19" fillId="0" borderId="15" xfId="0" applyNumberFormat="1" applyFont="1" applyBorder="1"/>
    <xf numFmtId="165" fontId="20" fillId="0" borderId="11" xfId="0" applyNumberFormat="1" applyFont="1" applyBorder="1" applyProtection="1">
      <protection locked="0"/>
    </xf>
    <xf numFmtId="165" fontId="20" fillId="0" borderId="12" xfId="0" applyNumberFormat="1" applyFont="1" applyBorder="1" applyProtection="1">
      <protection locked="0"/>
    </xf>
    <xf numFmtId="165" fontId="1" fillId="0" borderId="12" xfId="0" applyNumberFormat="1" applyFont="1" applyBorder="1"/>
    <xf numFmtId="165" fontId="3" fillId="0" borderId="0" xfId="0" applyNumberFormat="1" applyFont="1"/>
    <xf numFmtId="165" fontId="5" fillId="0" borderId="0" xfId="0" applyNumberFormat="1" applyFont="1" applyProtection="1">
      <protection locked="0"/>
    </xf>
    <xf numFmtId="165" fontId="12" fillId="0" borderId="14" xfId="0" applyNumberFormat="1" applyFont="1" applyBorder="1" applyAlignment="1" applyProtection="1">
      <alignment horizontal="center"/>
      <protection locked="0"/>
    </xf>
    <xf numFmtId="165" fontId="12" fillId="0" borderId="5" xfId="0" applyNumberFormat="1" applyFont="1" applyBorder="1" applyAlignment="1" applyProtection="1">
      <alignment horizontal="center"/>
      <protection locked="0"/>
    </xf>
    <xf numFmtId="165" fontId="5" fillId="0" borderId="14" xfId="0" applyNumberFormat="1" applyFont="1" applyBorder="1" applyProtection="1">
      <protection locked="0"/>
    </xf>
    <xf numFmtId="165" fontId="12" fillId="0" borderId="14" xfId="0" applyNumberFormat="1" applyFont="1" applyBorder="1" applyProtection="1">
      <protection locked="0"/>
    </xf>
    <xf numFmtId="165" fontId="5" fillId="0" borderId="5" xfId="0" applyNumberFormat="1" applyFont="1" applyBorder="1" applyProtection="1">
      <protection locked="0"/>
    </xf>
    <xf numFmtId="165" fontId="5" fillId="0" borderId="5" xfId="0" applyNumberFormat="1" applyFont="1" applyBorder="1" applyAlignment="1" applyProtection="1">
      <alignment horizontal="right"/>
      <protection locked="0"/>
    </xf>
    <xf numFmtId="165" fontId="5" fillId="0" borderId="0" xfId="0" applyNumberFormat="1" applyFont="1" applyAlignment="1" applyProtection="1">
      <alignment horizontal="right"/>
      <protection locked="0"/>
    </xf>
    <xf numFmtId="165" fontId="5" fillId="0" borderId="6" xfId="0" applyNumberFormat="1" applyFont="1" applyBorder="1" applyAlignment="1" applyProtection="1">
      <alignment horizontal="right"/>
      <protection locked="0"/>
    </xf>
    <xf numFmtId="165" fontId="5" fillId="0" borderId="6" xfId="0" applyNumberFormat="1" applyFont="1" applyBorder="1" applyProtection="1">
      <protection locked="0"/>
    </xf>
    <xf numFmtId="165" fontId="5" fillId="0" borderId="0" xfId="0" applyNumberFormat="1" applyFont="1" applyAlignment="1" applyProtection="1">
      <alignment horizontal="right" vertical="top"/>
      <protection locked="0"/>
    </xf>
    <xf numFmtId="165" fontId="12" fillId="0" borderId="12" xfId="0" applyNumberFormat="1" applyFont="1" applyBorder="1" applyProtection="1">
      <protection locked="0"/>
    </xf>
    <xf numFmtId="165" fontId="12" fillId="0" borderId="1" xfId="0" applyNumberFormat="1" applyFont="1" applyBorder="1" applyProtection="1">
      <protection locked="0"/>
    </xf>
    <xf numFmtId="165" fontId="5" fillId="0" borderId="1" xfId="0" applyNumberFormat="1" applyFont="1" applyBorder="1" applyProtection="1">
      <protection locked="0"/>
    </xf>
    <xf numFmtId="165" fontId="3" fillId="0" borderId="0" xfId="0" applyNumberFormat="1" applyFont="1" applyProtection="1">
      <protection locked="0"/>
    </xf>
    <xf numFmtId="165" fontId="5" fillId="0" borderId="13" xfId="0" applyNumberFormat="1" applyFont="1" applyBorder="1" applyProtection="1">
      <protection locked="0"/>
    </xf>
    <xf numFmtId="165" fontId="5" fillId="0" borderId="3" xfId="0" applyNumberFormat="1" applyFont="1" applyBorder="1" applyProtection="1">
      <protection locked="0"/>
    </xf>
    <xf numFmtId="165" fontId="12" fillId="0" borderId="13" xfId="0" applyNumberFormat="1" applyFont="1" applyBorder="1" applyProtection="1">
      <protection locked="0"/>
    </xf>
    <xf numFmtId="165" fontId="12" fillId="0" borderId="4" xfId="0" applyNumberFormat="1" applyFont="1" applyBorder="1" applyProtection="1">
      <protection locked="0"/>
    </xf>
    <xf numFmtId="165" fontId="5" fillId="0" borderId="2" xfId="0" applyNumberFormat="1" applyFont="1" applyBorder="1" applyAlignment="1" applyProtection="1">
      <alignment horizontal="right"/>
      <protection locked="0"/>
    </xf>
    <xf numFmtId="165" fontId="5" fillId="0" borderId="3" xfId="0" applyNumberFormat="1" applyFont="1" applyBorder="1" applyAlignment="1" applyProtection="1">
      <alignment horizontal="right"/>
      <protection locked="0"/>
    </xf>
    <xf numFmtId="165" fontId="5" fillId="0" borderId="4" xfId="0" applyNumberFormat="1" applyFont="1" applyBorder="1" applyAlignment="1" applyProtection="1">
      <alignment horizontal="right"/>
      <protection locked="0"/>
    </xf>
    <xf numFmtId="165" fontId="5" fillId="0" borderId="2" xfId="0" applyNumberFormat="1" applyFont="1" applyBorder="1" applyProtection="1">
      <protection locked="0"/>
    </xf>
    <xf numFmtId="165" fontId="5" fillId="0" borderId="4" xfId="0" applyNumberFormat="1" applyFont="1" applyBorder="1" applyProtection="1">
      <protection locked="0"/>
    </xf>
    <xf numFmtId="165" fontId="12" fillId="0" borderId="6" xfId="0" applyNumberFormat="1" applyFont="1" applyBorder="1" applyProtection="1">
      <protection locked="0"/>
    </xf>
    <xf numFmtId="165" fontId="5" fillId="0" borderId="15" xfId="0" applyNumberFormat="1" applyFont="1" applyBorder="1" applyProtection="1">
      <protection locked="0"/>
    </xf>
    <xf numFmtId="165" fontId="5" fillId="0" borderId="8" xfId="0" applyNumberFormat="1" applyFont="1" applyBorder="1" applyProtection="1">
      <protection locked="0"/>
    </xf>
    <xf numFmtId="165" fontId="12" fillId="0" borderId="15" xfId="0" applyNumberFormat="1" applyFont="1" applyBorder="1" applyProtection="1">
      <protection locked="0"/>
    </xf>
    <xf numFmtId="165" fontId="12" fillId="0" borderId="9" xfId="0" applyNumberFormat="1" applyFont="1" applyBorder="1" applyProtection="1">
      <protection locked="0"/>
    </xf>
    <xf numFmtId="165" fontId="5" fillId="0" borderId="7" xfId="0" applyNumberFormat="1" applyFont="1" applyBorder="1" applyAlignment="1" applyProtection="1">
      <alignment horizontal="right"/>
      <protection locked="0"/>
    </xf>
    <xf numFmtId="165" fontId="5" fillId="0" borderId="8" xfId="0" applyNumberFormat="1" applyFont="1" applyBorder="1" applyAlignment="1" applyProtection="1">
      <alignment horizontal="right"/>
      <protection locked="0"/>
    </xf>
    <xf numFmtId="165" fontId="5" fillId="0" borderId="9" xfId="0" applyNumberFormat="1" applyFont="1" applyBorder="1" applyAlignment="1" applyProtection="1">
      <alignment horizontal="right"/>
      <protection locked="0"/>
    </xf>
    <xf numFmtId="165" fontId="5" fillId="0" borderId="9" xfId="0" applyNumberFormat="1" applyFont="1" applyBorder="1" applyProtection="1">
      <protection locked="0"/>
    </xf>
    <xf numFmtId="165" fontId="5" fillId="0" borderId="10" xfId="0" applyNumberFormat="1" applyFont="1" applyBorder="1" applyProtection="1">
      <protection locked="0"/>
    </xf>
    <xf numFmtId="165" fontId="5" fillId="0" borderId="11" xfId="0" applyNumberFormat="1" applyFont="1" applyBorder="1" applyProtection="1">
      <protection locked="0"/>
    </xf>
    <xf numFmtId="165" fontId="11" fillId="0" borderId="0" xfId="0" applyNumberFormat="1" applyFont="1" applyProtection="1">
      <protection locked="0"/>
    </xf>
    <xf numFmtId="165" fontId="12" fillId="0" borderId="3" xfId="0" applyNumberFormat="1" applyFont="1" applyBorder="1" applyProtection="1">
      <protection locked="0"/>
    </xf>
    <xf numFmtId="165" fontId="12" fillId="0" borderId="11" xfId="0" applyNumberFormat="1" applyFont="1" applyBorder="1" applyProtection="1">
      <protection locked="0"/>
    </xf>
    <xf numFmtId="165" fontId="5" fillId="0" borderId="14" xfId="0" applyNumberFormat="1" applyFont="1" applyBorder="1" applyAlignment="1" applyProtection="1">
      <alignment horizontal="right" vertical="center"/>
      <protection locked="0"/>
    </xf>
    <xf numFmtId="165" fontId="5" fillId="0" borderId="15" xfId="0" applyNumberFormat="1" applyFont="1" applyBorder="1" applyAlignment="1" applyProtection="1">
      <alignment horizontal="right" vertical="center"/>
      <protection locked="0"/>
    </xf>
    <xf numFmtId="165" fontId="1" fillId="0" borderId="11" xfId="0" applyNumberFormat="1" applyFont="1" applyBorder="1" applyProtection="1">
      <protection locked="0"/>
    </xf>
    <xf numFmtId="165" fontId="3" fillId="0" borderId="11" xfId="0" applyNumberFormat="1" applyFont="1" applyBorder="1" applyProtection="1">
      <protection locked="0"/>
    </xf>
    <xf numFmtId="165" fontId="3" fillId="0" borderId="12" xfId="0" applyNumberFormat="1" applyFont="1" applyBorder="1" applyProtection="1">
      <protection locked="0"/>
    </xf>
    <xf numFmtId="165" fontId="19" fillId="0" borderId="5" xfId="0" applyNumberFormat="1" applyFont="1" applyBorder="1" applyProtection="1">
      <protection locked="0"/>
    </xf>
    <xf numFmtId="165" fontId="7" fillId="0" borderId="6" xfId="0" applyNumberFormat="1" applyFont="1" applyBorder="1" applyProtection="1">
      <protection locked="0"/>
    </xf>
    <xf numFmtId="165" fontId="19" fillId="0" borderId="0" xfId="2" applyNumberFormat="1" applyFont="1" applyProtection="1">
      <protection locked="0"/>
    </xf>
    <xf numFmtId="165" fontId="7" fillId="0" borderId="11" xfId="0" applyNumberFormat="1" applyFont="1" applyBorder="1" applyProtection="1">
      <protection locked="0"/>
    </xf>
    <xf numFmtId="165" fontId="7" fillId="0" borderId="11" xfId="0" applyNumberFormat="1" applyFont="1" applyBorder="1"/>
    <xf numFmtId="165" fontId="7" fillId="0" borderId="5" xfId="0" applyNumberFormat="1" applyFont="1" applyBorder="1" applyProtection="1">
      <protection locked="0"/>
    </xf>
    <xf numFmtId="165" fontId="7" fillId="0" borderId="14" xfId="0" applyNumberFormat="1" applyFont="1" applyBorder="1" applyProtection="1">
      <protection locked="0"/>
    </xf>
    <xf numFmtId="165" fontId="7" fillId="0" borderId="15" xfId="0" applyNumberFormat="1" applyFont="1" applyBorder="1" applyProtection="1">
      <protection locked="0"/>
    </xf>
    <xf numFmtId="165" fontId="20" fillId="0" borderId="1" xfId="0" applyNumberFormat="1" applyFont="1" applyBorder="1"/>
    <xf numFmtId="165" fontId="20" fillId="0" borderId="15" xfId="0" applyNumberFormat="1" applyFont="1" applyBorder="1"/>
    <xf numFmtId="165" fontId="19" fillId="0" borderId="0" xfId="0" applyNumberFormat="1" applyFont="1"/>
    <xf numFmtId="165" fontId="8" fillId="0" borderId="11" xfId="0" applyNumberFormat="1" applyFont="1" applyBorder="1"/>
    <xf numFmtId="165" fontId="20" fillId="0" borderId="1" xfId="0" applyNumberFormat="1" applyFont="1" applyBorder="1" applyProtection="1">
      <protection locked="0"/>
    </xf>
    <xf numFmtId="165" fontId="20" fillId="0" borderId="15" xfId="0" applyNumberFormat="1" applyFont="1" applyBorder="1" applyProtection="1">
      <protection locked="0"/>
    </xf>
    <xf numFmtId="165" fontId="11" fillId="0" borderId="11" xfId="0" applyNumberFormat="1" applyFont="1" applyBorder="1" applyProtection="1">
      <protection locked="0"/>
    </xf>
    <xf numFmtId="165" fontId="11" fillId="0" borderId="12" xfId="0" applyNumberFormat="1" applyFont="1" applyBorder="1" applyProtection="1">
      <protection locked="0"/>
    </xf>
    <xf numFmtId="165" fontId="2" fillId="0" borderId="0" xfId="0" applyNumberFormat="1" applyFont="1" applyAlignment="1" applyProtection="1">
      <alignment horizontal="right"/>
      <protection locked="0"/>
    </xf>
    <xf numFmtId="165" fontId="16" fillId="0" borderId="0" xfId="0" applyNumberFormat="1" applyFont="1" applyProtection="1">
      <protection locked="0"/>
    </xf>
    <xf numFmtId="165" fontId="36" fillId="8" borderId="13" xfId="0" applyNumberFormat="1" applyFont="1" applyFill="1" applyBorder="1" applyAlignment="1">
      <alignment horizontal="right" wrapText="1"/>
    </xf>
    <xf numFmtId="165" fontId="36" fillId="8" borderId="0" xfId="0" applyNumberFormat="1" applyFont="1" applyFill="1" applyAlignment="1">
      <alignment horizontal="right" wrapText="1"/>
    </xf>
    <xf numFmtId="165" fontId="5" fillId="8" borderId="14" xfId="0" applyNumberFormat="1" applyFont="1" applyFill="1" applyBorder="1" applyProtection="1">
      <protection locked="0"/>
    </xf>
    <xf numFmtId="165" fontId="5" fillId="8" borderId="0" xfId="0" applyNumberFormat="1" applyFont="1" applyFill="1" applyProtection="1">
      <protection locked="0"/>
    </xf>
    <xf numFmtId="165" fontId="37" fillId="8" borderId="15" xfId="0" applyNumberFormat="1" applyFont="1" applyFill="1" applyBorder="1" applyAlignment="1" applyProtection="1">
      <alignment horizontal="right" wrapText="1"/>
      <protection locked="0"/>
    </xf>
    <xf numFmtId="165" fontId="37" fillId="8" borderId="0" xfId="0" applyNumberFormat="1" applyFont="1" applyFill="1" applyAlignment="1" applyProtection="1">
      <alignment horizontal="right" wrapText="1"/>
      <protection locked="0"/>
    </xf>
    <xf numFmtId="165" fontId="37" fillId="8" borderId="2" xfId="0" applyNumberFormat="1" applyFont="1" applyFill="1" applyBorder="1" applyAlignment="1">
      <alignment horizontal="right" vertical="top" wrapText="1"/>
    </xf>
    <xf numFmtId="165" fontId="37" fillId="8" borderId="13" xfId="0" applyNumberFormat="1" applyFont="1" applyFill="1" applyBorder="1" applyAlignment="1">
      <alignment horizontal="justify" vertical="top" wrapText="1"/>
    </xf>
    <xf numFmtId="165" fontId="37" fillId="8" borderId="0" xfId="0" applyNumberFormat="1" applyFont="1" applyFill="1" applyAlignment="1">
      <alignment horizontal="justify" vertical="top" wrapText="1"/>
    </xf>
    <xf numFmtId="165" fontId="37" fillId="8" borderId="6" xfId="0" applyNumberFormat="1" applyFont="1" applyFill="1" applyBorder="1" applyAlignment="1">
      <alignment horizontal="justify" vertical="top" wrapText="1"/>
    </xf>
    <xf numFmtId="165" fontId="5" fillId="8" borderId="5" xfId="0" applyNumberFormat="1" applyFont="1" applyFill="1" applyBorder="1" applyProtection="1">
      <protection locked="0"/>
    </xf>
    <xf numFmtId="165" fontId="5" fillId="8" borderId="6" xfId="0" applyNumberFormat="1" applyFont="1" applyFill="1" applyBorder="1" applyProtection="1">
      <protection locked="0"/>
    </xf>
    <xf numFmtId="165" fontId="36" fillId="8" borderId="7" xfId="0" applyNumberFormat="1" applyFont="1" applyFill="1" applyBorder="1" applyAlignment="1" applyProtection="1">
      <alignment horizontal="right" wrapText="1"/>
      <protection locked="0"/>
    </xf>
    <xf numFmtId="165" fontId="36" fillId="8" borderId="15" xfId="0" applyNumberFormat="1" applyFont="1" applyFill="1" applyBorder="1" applyAlignment="1" applyProtection="1">
      <alignment horizontal="right" wrapText="1"/>
      <protection locked="0"/>
    </xf>
    <xf numFmtId="165" fontId="36" fillId="8" borderId="18" xfId="0" applyNumberFormat="1" applyFont="1" applyFill="1" applyBorder="1" applyAlignment="1" applyProtection="1">
      <alignment horizontal="right" wrapText="1"/>
      <protection locked="0"/>
    </xf>
    <xf numFmtId="165" fontId="36" fillId="8" borderId="19" xfId="0" applyNumberFormat="1" applyFont="1" applyFill="1" applyBorder="1" applyAlignment="1" applyProtection="1">
      <alignment horizontal="right" wrapText="1"/>
      <protection locked="0"/>
    </xf>
    <xf numFmtId="0" fontId="1" fillId="4" borderId="4" xfId="0" applyFont="1" applyFill="1" applyBorder="1" applyAlignment="1">
      <alignment horizontal="center" vertical="center" wrapText="1"/>
    </xf>
    <xf numFmtId="165" fontId="12" fillId="0" borderId="0" xfId="0" applyNumberFormat="1" applyFont="1" applyAlignment="1" applyProtection="1">
      <alignment horizontal="center"/>
      <protection locked="0"/>
    </xf>
    <xf numFmtId="14" fontId="1" fillId="0" borderId="0" xfId="0" applyNumberFormat="1" applyFont="1" applyAlignment="1">
      <alignment horizontal="center"/>
    </xf>
    <xf numFmtId="14" fontId="1" fillId="0" borderId="0" xfId="0" applyNumberFormat="1" applyFont="1"/>
    <xf numFmtId="3" fontId="1" fillId="0" borderId="0" xfId="0" applyNumberFormat="1" applyFont="1"/>
    <xf numFmtId="14" fontId="8" fillId="0" borderId="0" xfId="0" applyNumberFormat="1" applyFont="1" applyAlignment="1">
      <alignment horizontal="center" vertical="center" wrapText="1"/>
    </xf>
    <xf numFmtId="14" fontId="1" fillId="4" borderId="10" xfId="0" applyNumberFormat="1" applyFont="1" applyFill="1" applyBorder="1" applyProtection="1">
      <protection locked="0"/>
    </xf>
    <xf numFmtId="14" fontId="1" fillId="0" borderId="10" xfId="0" applyNumberFormat="1" applyFont="1" applyBorder="1"/>
    <xf numFmtId="0" fontId="1" fillId="0" borderId="0" xfId="0" applyFont="1" applyProtection="1">
      <protection locked="0"/>
    </xf>
    <xf numFmtId="0" fontId="2" fillId="0" borderId="7" xfId="0" applyFont="1" applyBorder="1" applyProtection="1">
      <protection locked="0"/>
    </xf>
    <xf numFmtId="0" fontId="38" fillId="0" borderId="9" xfId="0" applyFont="1" applyBorder="1" applyProtection="1">
      <protection locked="0"/>
    </xf>
    <xf numFmtId="165" fontId="20" fillId="0" borderId="0" xfId="0" applyNumberFormat="1" applyFont="1"/>
    <xf numFmtId="165" fontId="8" fillId="0" borderId="0" xfId="0" applyNumberFormat="1" applyFont="1"/>
    <xf numFmtId="14" fontId="6" fillId="8" borderId="0" xfId="0" applyNumberFormat="1" applyFont="1" applyFill="1"/>
    <xf numFmtId="0" fontId="44" fillId="11" borderId="20" xfId="7" applyFont="1" applyFill="1" applyBorder="1" applyAlignment="1">
      <alignment horizontal="center" vertical="center" wrapText="1"/>
    </xf>
    <xf numFmtId="0" fontId="44" fillId="11" borderId="21" xfId="7" applyFont="1" applyFill="1" applyBorder="1" applyAlignment="1">
      <alignment horizontal="center" vertical="center" wrapText="1"/>
    </xf>
    <xf numFmtId="0" fontId="45" fillId="11" borderId="23" xfId="7" applyFont="1" applyFill="1" applyBorder="1" applyAlignment="1">
      <alignment horizontal="center" vertical="center" wrapText="1"/>
    </xf>
    <xf numFmtId="0" fontId="0" fillId="0" borderId="0" xfId="0" applyAlignment="1">
      <alignment horizontal="center" vertical="center"/>
    </xf>
    <xf numFmtId="0" fontId="47" fillId="12" borderId="0" xfId="8" applyFont="1" applyFill="1" applyAlignment="1">
      <alignment horizontal="left" vertical="center" wrapText="1" indent="1"/>
    </xf>
    <xf numFmtId="3" fontId="46" fillId="8" borderId="1" xfId="8" applyNumberFormat="1" applyFont="1" applyFill="1" applyBorder="1" applyProtection="1">
      <alignment vertical="center"/>
      <protection locked="0"/>
    </xf>
    <xf numFmtId="3" fontId="46" fillId="9" borderId="1" xfId="8" applyNumberFormat="1" applyFont="1" applyFill="1" applyBorder="1" applyProtection="1">
      <alignment vertical="center"/>
      <protection locked="0"/>
    </xf>
    <xf numFmtId="0" fontId="48" fillId="12" borderId="0" xfId="8" applyFont="1" applyFill="1" applyAlignment="1">
      <alignment horizontal="left" vertical="center" wrapText="1"/>
    </xf>
    <xf numFmtId="3" fontId="48" fillId="3" borderId="1" xfId="8" applyNumberFormat="1" applyFont="1" applyFill="1" applyBorder="1">
      <alignment vertical="center"/>
    </xf>
    <xf numFmtId="3" fontId="48" fillId="3" borderId="9" xfId="8" applyNumberFormat="1" applyFont="1" applyFill="1" applyBorder="1">
      <alignment vertical="center"/>
    </xf>
    <xf numFmtId="0" fontId="49" fillId="12" borderId="8" xfId="8" applyFont="1" applyFill="1" applyBorder="1">
      <alignment vertical="center"/>
    </xf>
    <xf numFmtId="3" fontId="49" fillId="12" borderId="9" xfId="8" applyNumberFormat="1" applyFont="1" applyFill="1" applyBorder="1">
      <alignment vertical="center"/>
    </xf>
    <xf numFmtId="0" fontId="44" fillId="11" borderId="22" xfId="7" applyFont="1" applyFill="1" applyBorder="1" applyAlignment="1">
      <alignment horizontal="center" vertical="center" wrapText="1"/>
    </xf>
    <xf numFmtId="0" fontId="44" fillId="11" borderId="23" xfId="7" applyFont="1" applyFill="1" applyBorder="1" applyAlignment="1">
      <alignment horizontal="center" vertical="center" wrapText="1"/>
    </xf>
    <xf numFmtId="0" fontId="48" fillId="12" borderId="0" xfId="8" applyFont="1" applyFill="1" applyAlignment="1">
      <alignment horizontal="left" vertical="center" wrapText="1" indent="1"/>
    </xf>
    <xf numFmtId="0" fontId="47" fillId="13" borderId="0" xfId="8" applyFont="1" applyFill="1" applyAlignment="1">
      <alignment horizontal="left" vertical="center" wrapText="1" indent="1"/>
    </xf>
    <xf numFmtId="3" fontId="46" fillId="13" borderId="1" xfId="8" applyNumberFormat="1" applyFont="1" applyFill="1" applyBorder="1" applyProtection="1">
      <alignment vertical="center"/>
      <protection locked="0"/>
    </xf>
    <xf numFmtId="3" fontId="0" fillId="0" borderId="0" xfId="0" applyNumberFormat="1"/>
    <xf numFmtId="0" fontId="2" fillId="0" borderId="13" xfId="0" applyFont="1" applyBorder="1"/>
    <xf numFmtId="0" fontId="2" fillId="0" borderId="15" xfId="0" applyFont="1" applyBorder="1" applyProtection="1">
      <protection locked="0"/>
    </xf>
    <xf numFmtId="165" fontId="1" fillId="0" borderId="13" xfId="0" applyNumberFormat="1" applyFont="1" applyBorder="1" applyProtection="1">
      <protection locked="0"/>
    </xf>
    <xf numFmtId="165" fontId="1" fillId="0" borderId="14" xfId="0" applyNumberFormat="1" applyFont="1" applyBorder="1" applyProtection="1">
      <protection locked="0"/>
    </xf>
    <xf numFmtId="165" fontId="1" fillId="0" borderId="15" xfId="0" applyNumberFormat="1" applyFont="1" applyBorder="1" applyProtection="1">
      <protection locked="0"/>
    </xf>
    <xf numFmtId="165" fontId="2" fillId="0" borderId="13" xfId="0" applyNumberFormat="1" applyFont="1" applyBorder="1" applyProtection="1">
      <protection locked="0"/>
    </xf>
    <xf numFmtId="165" fontId="2" fillId="0" borderId="14" xfId="0" applyNumberFormat="1" applyFont="1" applyBorder="1" applyProtection="1">
      <protection locked="0"/>
    </xf>
    <xf numFmtId="165" fontId="2" fillId="0" borderId="15" xfId="0" applyNumberFormat="1" applyFont="1" applyBorder="1" applyProtection="1">
      <protection locked="0"/>
    </xf>
    <xf numFmtId="0" fontId="50" fillId="0" borderId="0" xfId="0" applyFont="1"/>
    <xf numFmtId="0" fontId="51" fillId="0" borderId="0" xfId="0" applyFont="1"/>
    <xf numFmtId="0" fontId="12" fillId="0" borderId="0" xfId="0" applyFont="1"/>
    <xf numFmtId="0" fontId="12" fillId="0" borderId="0" xfId="0" applyFont="1" applyAlignment="1">
      <alignment horizontal="center"/>
    </xf>
    <xf numFmtId="3" fontId="2" fillId="8" borderId="10" xfId="0" applyNumberFormat="1" applyFont="1" applyFill="1" applyBorder="1" applyProtection="1">
      <protection locked="0"/>
    </xf>
    <xf numFmtId="3" fontId="2" fillId="8" borderId="11" xfId="0" applyNumberFormat="1" applyFont="1" applyFill="1" applyBorder="1" applyProtection="1">
      <protection locked="0"/>
    </xf>
    <xf numFmtId="3" fontId="2" fillId="8" borderId="14" xfId="0" applyNumberFormat="1" applyFont="1" applyFill="1" applyBorder="1" applyProtection="1">
      <protection locked="0"/>
    </xf>
    <xf numFmtId="3" fontId="2" fillId="8" borderId="15" xfId="0" applyNumberFormat="1" applyFont="1" applyFill="1" applyBorder="1" applyProtection="1">
      <protection locked="0"/>
    </xf>
    <xf numFmtId="3" fontId="1" fillId="8" borderId="0" xfId="0" applyNumberFormat="1" applyFont="1" applyFill="1" applyProtection="1">
      <protection locked="0"/>
    </xf>
    <xf numFmtId="0" fontId="2" fillId="8" borderId="13" xfId="0" applyFont="1" applyFill="1" applyBorder="1"/>
    <xf numFmtId="0" fontId="1" fillId="6" borderId="14" xfId="0" applyFont="1" applyFill="1" applyBorder="1"/>
    <xf numFmtId="0" fontId="1" fillId="8" borderId="1" xfId="0" applyFont="1" applyFill="1" applyBorder="1" applyProtection="1">
      <protection locked="0"/>
    </xf>
    <xf numFmtId="3" fontId="2" fillId="0" borderId="12" xfId="0" applyNumberFormat="1" applyFont="1" applyBorder="1" applyProtection="1">
      <protection locked="0"/>
    </xf>
    <xf numFmtId="3" fontId="2" fillId="8" borderId="13" xfId="0" applyNumberFormat="1" applyFont="1" applyFill="1" applyBorder="1" applyProtection="1">
      <protection locked="0"/>
    </xf>
    <xf numFmtId="10" fontId="2" fillId="8" borderId="0" xfId="0" applyNumberFormat="1" applyFont="1" applyFill="1" applyProtection="1">
      <protection locked="0"/>
    </xf>
    <xf numFmtId="10" fontId="2" fillId="8" borderId="0" xfId="0" applyNumberFormat="1" applyFont="1" applyFill="1" applyAlignment="1" applyProtection="1">
      <alignment horizontal="center"/>
      <protection locked="0"/>
    </xf>
    <xf numFmtId="10" fontId="2" fillId="0" borderId="0" xfId="0" applyNumberFormat="1" applyFont="1" applyProtection="1">
      <protection locked="0"/>
    </xf>
    <xf numFmtId="10" fontId="1" fillId="0" borderId="5" xfId="0" applyNumberFormat="1" applyFont="1" applyBorder="1" applyProtection="1">
      <protection locked="0"/>
    </xf>
    <xf numFmtId="14" fontId="12" fillId="0" borderId="0" xfId="0" applyNumberFormat="1" applyFont="1" applyAlignment="1" applyProtection="1">
      <alignment horizontal="center"/>
      <protection locked="0"/>
    </xf>
    <xf numFmtId="14" fontId="5" fillId="0" borderId="0" xfId="0" applyNumberFormat="1" applyFont="1" applyProtection="1">
      <protection locked="0"/>
    </xf>
    <xf numFmtId="10" fontId="12" fillId="0" borderId="0" xfId="0" applyNumberFormat="1" applyFont="1" applyAlignment="1" applyProtection="1">
      <alignment horizontal="center"/>
      <protection locked="0"/>
    </xf>
    <xf numFmtId="10" fontId="5" fillId="0" borderId="0" xfId="0" applyNumberFormat="1" applyFont="1" applyAlignment="1" applyProtection="1">
      <alignment horizontal="right"/>
      <protection locked="0"/>
    </xf>
    <xf numFmtId="10" fontId="5" fillId="0" borderId="1" xfId="0" applyNumberFormat="1" applyFont="1" applyBorder="1" applyProtection="1">
      <protection locked="0"/>
    </xf>
    <xf numFmtId="10" fontId="3" fillId="0" borderId="0" xfId="0" applyNumberFormat="1" applyFont="1" applyProtection="1">
      <protection locked="0"/>
    </xf>
    <xf numFmtId="10" fontId="5" fillId="0" borderId="0" xfId="0" applyNumberFormat="1" applyFont="1" applyProtection="1">
      <protection locked="0"/>
    </xf>
    <xf numFmtId="10" fontId="5" fillId="0" borderId="3" xfId="0" applyNumberFormat="1" applyFont="1" applyBorder="1" applyAlignment="1" applyProtection="1">
      <alignment horizontal="right"/>
      <protection locked="0"/>
    </xf>
    <xf numFmtId="10" fontId="5" fillId="0" borderId="8" xfId="0" applyNumberFormat="1" applyFont="1" applyBorder="1" applyAlignment="1" applyProtection="1">
      <alignment horizontal="right"/>
      <protection locked="0"/>
    </xf>
    <xf numFmtId="10" fontId="5" fillId="0" borderId="11" xfId="0" applyNumberFormat="1" applyFont="1" applyBorder="1" applyProtection="1">
      <protection locked="0"/>
    </xf>
    <xf numFmtId="10" fontId="11" fillId="0" borderId="0" xfId="0" applyNumberFormat="1" applyFont="1" applyProtection="1">
      <protection locked="0"/>
    </xf>
    <xf numFmtId="10" fontId="5" fillId="0" borderId="3" xfId="0" applyNumberFormat="1" applyFont="1" applyBorder="1" applyProtection="1">
      <protection locked="0"/>
    </xf>
    <xf numFmtId="10" fontId="5" fillId="0" borderId="8" xfId="0" applyNumberFormat="1" applyFont="1" applyBorder="1" applyProtection="1">
      <protection locked="0"/>
    </xf>
    <xf numFmtId="10" fontId="12" fillId="0" borderId="11" xfId="0" applyNumberFormat="1" applyFont="1" applyBorder="1" applyProtection="1">
      <protection locked="0"/>
    </xf>
    <xf numFmtId="10" fontId="1" fillId="0" borderId="11" xfId="0" applyNumberFormat="1" applyFont="1" applyBorder="1" applyProtection="1">
      <protection locked="0"/>
    </xf>
    <xf numFmtId="14" fontId="12" fillId="0" borderId="12" xfId="0" applyNumberFormat="1" applyFont="1" applyBorder="1" applyProtection="1">
      <protection locked="0"/>
    </xf>
    <xf numFmtId="14" fontId="3" fillId="0" borderId="0" xfId="0" applyNumberFormat="1" applyFont="1" applyProtection="1">
      <protection locked="0"/>
    </xf>
    <xf numFmtId="14" fontId="5" fillId="0" borderId="3" xfId="0" applyNumberFormat="1" applyFont="1" applyBorder="1" applyProtection="1">
      <protection locked="0"/>
    </xf>
    <xf numFmtId="14" fontId="5" fillId="0" borderId="8" xfId="0" applyNumberFormat="1" applyFont="1" applyBorder="1" applyProtection="1">
      <protection locked="0"/>
    </xf>
    <xf numFmtId="14" fontId="12" fillId="0" borderId="1" xfId="0" applyNumberFormat="1" applyFont="1" applyBorder="1" applyProtection="1">
      <protection locked="0"/>
    </xf>
    <xf numFmtId="14" fontId="12" fillId="0" borderId="3" xfId="0" applyNumberFormat="1" applyFont="1" applyBorder="1" applyProtection="1">
      <protection locked="0"/>
    </xf>
    <xf numFmtId="14" fontId="5" fillId="0" borderId="11" xfId="0" applyNumberFormat="1" applyFont="1" applyBorder="1" applyProtection="1">
      <protection locked="0"/>
    </xf>
    <xf numFmtId="14" fontId="5" fillId="0" borderId="8" xfId="0" applyNumberFormat="1" applyFont="1" applyBorder="1" applyAlignment="1" applyProtection="1">
      <alignment horizontal="right"/>
      <protection locked="0"/>
    </xf>
    <xf numFmtId="14" fontId="12" fillId="0" borderId="11" xfId="0" applyNumberFormat="1" applyFont="1" applyBorder="1" applyProtection="1">
      <protection locked="0"/>
    </xf>
    <xf numFmtId="14" fontId="5" fillId="0" borderId="12" xfId="0" applyNumberFormat="1" applyFont="1" applyBorder="1" applyProtection="1">
      <protection locked="0"/>
    </xf>
    <xf numFmtId="14" fontId="11" fillId="0" borderId="0" xfId="0" applyNumberFormat="1" applyFont="1" applyProtection="1">
      <protection locked="0"/>
    </xf>
    <xf numFmtId="14" fontId="2" fillId="0" borderId="0" xfId="0" applyNumberFormat="1" applyFont="1" applyProtection="1">
      <protection locked="0"/>
    </xf>
    <xf numFmtId="14" fontId="1" fillId="0" borderId="11" xfId="0" applyNumberFormat="1" applyFont="1" applyBorder="1" applyProtection="1">
      <protection locked="0"/>
    </xf>
    <xf numFmtId="14" fontId="0" fillId="0" borderId="0" xfId="0" applyNumberFormat="1"/>
    <xf numFmtId="10" fontId="12" fillId="0" borderId="5" xfId="0" applyNumberFormat="1" applyFont="1" applyBorder="1" applyAlignment="1" applyProtection="1">
      <alignment horizontal="center"/>
      <protection locked="0"/>
    </xf>
    <xf numFmtId="10" fontId="12" fillId="0" borderId="6" xfId="0" applyNumberFormat="1" applyFont="1" applyBorder="1" applyAlignment="1" applyProtection="1">
      <alignment horizontal="center"/>
      <protection locked="0"/>
    </xf>
    <xf numFmtId="10" fontId="5" fillId="0" borderId="6" xfId="0" applyNumberFormat="1" applyFont="1" applyBorder="1" applyProtection="1">
      <protection locked="0"/>
    </xf>
    <xf numFmtId="10" fontId="5" fillId="0" borderId="5" xfId="0" applyNumberFormat="1" applyFont="1" applyBorder="1" applyProtection="1">
      <protection locked="0"/>
    </xf>
    <xf numFmtId="10" fontId="5" fillId="0" borderId="2" xfId="0" applyNumberFormat="1" applyFont="1" applyBorder="1" applyProtection="1">
      <protection locked="0"/>
    </xf>
    <xf numFmtId="10" fontId="5" fillId="0" borderId="4" xfId="0" applyNumberFormat="1" applyFont="1" applyBorder="1" applyProtection="1">
      <protection locked="0"/>
    </xf>
    <xf numFmtId="10" fontId="5" fillId="0" borderId="5" xfId="0" applyNumberFormat="1" applyFont="1" applyBorder="1" applyAlignment="1" applyProtection="1">
      <alignment horizontal="right"/>
      <protection locked="0"/>
    </xf>
    <xf numFmtId="10" fontId="5" fillId="0" borderId="7" xfId="0" applyNumberFormat="1" applyFont="1" applyBorder="1" applyProtection="1">
      <protection locked="0"/>
    </xf>
    <xf numFmtId="10" fontId="5" fillId="0" borderId="9" xfId="0" applyNumberFormat="1" applyFont="1" applyBorder="1" applyProtection="1">
      <protection locked="0"/>
    </xf>
    <xf numFmtId="10" fontId="5" fillId="0" borderId="12" xfId="0" applyNumberFormat="1" applyFont="1" applyBorder="1" applyProtection="1">
      <protection locked="0"/>
    </xf>
    <xf numFmtId="10" fontId="12" fillId="0" borderId="12" xfId="0" applyNumberFormat="1" applyFont="1" applyBorder="1" applyProtection="1">
      <protection locked="0"/>
    </xf>
    <xf numFmtId="10" fontId="5" fillId="0" borderId="10" xfId="0" applyNumberFormat="1" applyFont="1" applyBorder="1" applyProtection="1">
      <protection locked="0"/>
    </xf>
    <xf numFmtId="10" fontId="1" fillId="0" borderId="12" xfId="0" applyNumberFormat="1" applyFont="1" applyBorder="1" applyProtection="1">
      <protection locked="0"/>
    </xf>
    <xf numFmtId="10" fontId="0" fillId="0" borderId="0" xfId="0" applyNumberFormat="1"/>
    <xf numFmtId="3" fontId="52" fillId="0" borderId="1" xfId="3" applyNumberFormat="1" applyFont="1" applyBorder="1" applyProtection="1">
      <protection locked="0"/>
    </xf>
    <xf numFmtId="0" fontId="11" fillId="8" borderId="5" xfId="0" applyFont="1" applyFill="1" applyBorder="1"/>
    <xf numFmtId="0" fontId="11" fillId="8" borderId="0" xfId="0" applyFont="1" applyFill="1"/>
    <xf numFmtId="0" fontId="11" fillId="8" borderId="6" xfId="0" applyFont="1" applyFill="1" applyBorder="1"/>
    <xf numFmtId="0" fontId="11" fillId="8" borderId="7" xfId="0" applyFont="1" applyFill="1" applyBorder="1"/>
    <xf numFmtId="0" fontId="11" fillId="8" borderId="8" xfId="0" applyFont="1" applyFill="1" applyBorder="1"/>
    <xf numFmtId="0" fontId="11" fillId="8" borderId="9" xfId="0" applyFont="1" applyFill="1" applyBorder="1"/>
    <xf numFmtId="0" fontId="10" fillId="0" borderId="0" xfId="0" applyFont="1" applyAlignment="1">
      <alignment horizontal="center"/>
    </xf>
    <xf numFmtId="0" fontId="53" fillId="0" borderId="0" xfId="0" applyFont="1" applyAlignment="1">
      <alignment horizontal="justify" wrapText="1"/>
    </xf>
    <xf numFmtId="0" fontId="53" fillId="0" borderId="0" xfId="0" applyFont="1" applyAlignment="1">
      <alignment horizontal="right"/>
    </xf>
    <xf numFmtId="0" fontId="53" fillId="0" borderId="0" xfId="0" applyFont="1" applyAlignment="1">
      <alignment horizontal="right" wrapText="1"/>
    </xf>
    <xf numFmtId="0" fontId="53" fillId="0" borderId="0" xfId="0" applyFont="1"/>
    <xf numFmtId="14" fontId="11" fillId="0" borderId="0" xfId="0" applyNumberFormat="1" applyFont="1"/>
    <xf numFmtId="41" fontId="2" fillId="0" borderId="26" xfId="0" applyNumberFormat="1" applyFont="1" applyBorder="1"/>
    <xf numFmtId="0" fontId="1" fillId="8" borderId="21" xfId="0" applyFont="1" applyFill="1" applyBorder="1"/>
    <xf numFmtId="0" fontId="1" fillId="8" borderId="25" xfId="0" applyFont="1" applyFill="1" applyBorder="1"/>
    <xf numFmtId="41" fontId="1" fillId="0" borderId="26" xfId="0" applyNumberFormat="1" applyFont="1" applyBorder="1"/>
    <xf numFmtId="41" fontId="2" fillId="0" borderId="28" xfId="0" applyNumberFormat="1" applyFont="1" applyBorder="1"/>
    <xf numFmtId="41" fontId="1" fillId="0" borderId="24" xfId="0" applyNumberFormat="1" applyFont="1" applyBorder="1"/>
    <xf numFmtId="0" fontId="2" fillId="8" borderId="29" xfId="0" applyFont="1" applyFill="1" applyBorder="1"/>
    <xf numFmtId="0" fontId="2" fillId="8" borderId="30" xfId="0" applyFont="1" applyFill="1" applyBorder="1"/>
    <xf numFmtId="0" fontId="2" fillId="8" borderId="31" xfId="0" applyFont="1" applyFill="1" applyBorder="1"/>
    <xf numFmtId="0" fontId="2" fillId="8" borderId="32" xfId="0" applyFont="1" applyFill="1" applyBorder="1"/>
    <xf numFmtId="0" fontId="6" fillId="0" borderId="21" xfId="0" applyFont="1" applyBorder="1"/>
    <xf numFmtId="41" fontId="6" fillId="0" borderId="24" xfId="0" applyNumberFormat="1" applyFont="1" applyBorder="1"/>
    <xf numFmtId="14" fontId="1" fillId="8" borderId="24" xfId="0" applyNumberFormat="1" applyFont="1" applyFill="1" applyBorder="1" applyAlignment="1">
      <alignment horizontal="center"/>
    </xf>
    <xf numFmtId="0" fontId="0" fillId="0" borderId="34" xfId="0" applyBorder="1"/>
    <xf numFmtId="0" fontId="0" fillId="0" borderId="21" xfId="0" applyBorder="1"/>
    <xf numFmtId="14" fontId="0" fillId="0" borderId="24" xfId="0" applyNumberFormat="1" applyBorder="1"/>
    <xf numFmtId="3" fontId="3" fillId="0" borderId="11" xfId="0" applyNumberFormat="1" applyFont="1" applyBorder="1"/>
    <xf numFmtId="0" fontId="1" fillId="0" borderId="21" xfId="0" applyFont="1" applyBorder="1"/>
    <xf numFmtId="0" fontId="2" fillId="0" borderId="32" xfId="0" applyFont="1" applyBorder="1"/>
    <xf numFmtId="41" fontId="2" fillId="0" borderId="33" xfId="0" applyNumberFormat="1" applyFont="1" applyBorder="1"/>
    <xf numFmtId="0" fontId="2" fillId="0" borderId="21" xfId="0" applyFont="1" applyBorder="1"/>
    <xf numFmtId="14" fontId="2" fillId="0" borderId="24" xfId="0" applyNumberFormat="1" applyFont="1" applyBorder="1"/>
    <xf numFmtId="0" fontId="2" fillId="0" borderId="28" xfId="0" applyFont="1" applyBorder="1"/>
    <xf numFmtId="0" fontId="1" fillId="0" borderId="24" xfId="0" applyFont="1" applyBorder="1"/>
    <xf numFmtId="14" fontId="2" fillId="0" borderId="24" xfId="0" applyNumberFormat="1" applyFont="1" applyBorder="1" applyAlignment="1">
      <alignment horizontal="center"/>
    </xf>
    <xf numFmtId="14" fontId="1" fillId="0" borderId="24" xfId="0" applyNumberFormat="1" applyFont="1" applyBorder="1" applyAlignment="1">
      <alignment horizontal="center"/>
    </xf>
    <xf numFmtId="14" fontId="1" fillId="0" borderId="26" xfId="0" applyNumberFormat="1" applyFont="1" applyBorder="1" applyAlignment="1">
      <alignment horizontal="center"/>
    </xf>
    <xf numFmtId="3" fontId="3" fillId="8" borderId="25" xfId="0" applyNumberFormat="1" applyFont="1" applyFill="1" applyBorder="1" applyProtection="1">
      <protection locked="0"/>
    </xf>
    <xf numFmtId="3" fontId="3" fillId="8" borderId="20" xfId="0" applyNumberFormat="1" applyFont="1" applyFill="1" applyBorder="1" applyProtection="1">
      <protection locked="0"/>
    </xf>
    <xf numFmtId="3" fontId="3" fillId="8" borderId="37" xfId="0" applyNumberFormat="1" applyFont="1" applyFill="1" applyBorder="1" applyProtection="1">
      <protection locked="0"/>
    </xf>
    <xf numFmtId="0" fontId="1" fillId="0" borderId="34" xfId="0" applyFont="1" applyBorder="1"/>
    <xf numFmtId="0" fontId="2" fillId="0" borderId="36" xfId="0" applyFont="1" applyBorder="1"/>
    <xf numFmtId="41" fontId="1" fillId="0" borderId="36" xfId="0" applyNumberFormat="1" applyFont="1" applyBorder="1"/>
    <xf numFmtId="0" fontId="2" fillId="0" borderId="34" xfId="0" applyFont="1" applyBorder="1"/>
    <xf numFmtId="41" fontId="2" fillId="0" borderId="36" xfId="0" applyNumberFormat="1" applyFont="1" applyBorder="1"/>
    <xf numFmtId="0" fontId="0" fillId="0" borderId="32" xfId="0" applyBorder="1"/>
    <xf numFmtId="41" fontId="0" fillId="0" borderId="33" xfId="0" applyNumberFormat="1" applyBorder="1"/>
    <xf numFmtId="14" fontId="0" fillId="0" borderId="26" xfId="0" applyNumberFormat="1" applyBorder="1"/>
    <xf numFmtId="41" fontId="6" fillId="0" borderId="26" xfId="0" applyNumberFormat="1" applyFont="1" applyBorder="1"/>
    <xf numFmtId="14" fontId="0" fillId="0" borderId="28" xfId="0" applyNumberFormat="1" applyBorder="1"/>
    <xf numFmtId="41" fontId="2" fillId="8" borderId="0" xfId="0" applyNumberFormat="1" applyFont="1" applyFill="1" applyAlignment="1">
      <alignment horizontal="center"/>
    </xf>
    <xf numFmtId="0" fontId="2" fillId="0" borderId="24" xfId="0" applyFont="1" applyBorder="1"/>
    <xf numFmtId="0" fontId="2" fillId="0" borderId="5" xfId="0" applyFont="1" applyBorder="1" applyAlignment="1" applyProtection="1">
      <alignment horizontal="left"/>
      <protection locked="0"/>
    </xf>
    <xf numFmtId="165" fontId="2" fillId="0" borderId="33" xfId="0" applyNumberFormat="1" applyFont="1" applyBorder="1" applyProtection="1">
      <protection locked="0"/>
    </xf>
    <xf numFmtId="165" fontId="2" fillId="0" borderId="33" xfId="0" applyNumberFormat="1" applyFont="1" applyBorder="1" applyAlignment="1" applyProtection="1">
      <alignment horizontal="right"/>
      <protection locked="0"/>
    </xf>
    <xf numFmtId="165" fontId="2" fillId="0" borderId="28" xfId="0" applyNumberFormat="1" applyFont="1" applyBorder="1" applyProtection="1">
      <protection locked="0"/>
    </xf>
    <xf numFmtId="165" fontId="2" fillId="0" borderId="28" xfId="0" applyNumberFormat="1" applyFont="1" applyBorder="1" applyAlignment="1" applyProtection="1">
      <alignment horizontal="right"/>
      <protection locked="0"/>
    </xf>
    <xf numFmtId="0" fontId="2" fillId="6" borderId="0" xfId="0" applyFont="1" applyFill="1"/>
    <xf numFmtId="0" fontId="0" fillId="0" borderId="26" xfId="0" applyBorder="1"/>
    <xf numFmtId="0" fontId="0" fillId="0" borderId="24" xfId="0" applyBorder="1"/>
    <xf numFmtId="14" fontId="6" fillId="0" borderId="24" xfId="0" applyNumberFormat="1" applyFont="1" applyBorder="1" applyAlignment="1">
      <alignment horizontal="center"/>
    </xf>
    <xf numFmtId="41" fontId="0" fillId="0" borderId="35" xfId="0" applyNumberFormat="1" applyBorder="1"/>
    <xf numFmtId="41" fontId="0" fillId="6" borderId="33" xfId="0" applyNumberFormat="1" applyFill="1" applyBorder="1"/>
    <xf numFmtId="0" fontId="0" fillId="6" borderId="32" xfId="0" applyFill="1" applyBorder="1"/>
    <xf numFmtId="41" fontId="2" fillId="8" borderId="28" xfId="0" applyNumberFormat="1" applyFont="1" applyFill="1" applyBorder="1"/>
    <xf numFmtId="41" fontId="2" fillId="0" borderId="24" xfId="0" applyNumberFormat="1" applyFont="1" applyBorder="1"/>
    <xf numFmtId="41" fontId="0" fillId="0" borderId="28" xfId="0" applyNumberFormat="1" applyBorder="1"/>
    <xf numFmtId="41" fontId="0" fillId="0" borderId="0" xfId="0" applyNumberFormat="1"/>
    <xf numFmtId="41" fontId="2" fillId="0" borderId="0" xfId="9" applyFont="1" applyProtection="1">
      <protection locked="0"/>
    </xf>
    <xf numFmtId="41" fontId="2" fillId="0" borderId="0" xfId="0" applyNumberFormat="1" applyFont="1"/>
    <xf numFmtId="41" fontId="1" fillId="3" borderId="11" xfId="9" applyFont="1" applyFill="1" applyBorder="1"/>
    <xf numFmtId="41" fontId="1" fillId="0" borderId="0" xfId="0" applyNumberFormat="1" applyFont="1"/>
    <xf numFmtId="41" fontId="3" fillId="0" borderId="11" xfId="0" applyNumberFormat="1" applyFont="1" applyBorder="1"/>
    <xf numFmtId="41" fontId="6" fillId="0" borderId="0" xfId="0" applyNumberFormat="1" applyFont="1"/>
    <xf numFmtId="41" fontId="2" fillId="6" borderId="0" xfId="0" applyNumberFormat="1" applyFont="1" applyFill="1"/>
    <xf numFmtId="41" fontId="2" fillId="0" borderId="0" xfId="0" applyNumberFormat="1" applyFont="1" applyProtection="1">
      <protection locked="0"/>
    </xf>
    <xf numFmtId="41" fontId="16" fillId="0" borderId="0" xfId="0" applyNumberFormat="1" applyFont="1" applyProtection="1">
      <protection locked="0"/>
    </xf>
    <xf numFmtId="41" fontId="7" fillId="0" borderId="0" xfId="9" applyFont="1"/>
    <xf numFmtId="41" fontId="8" fillId="0" borderId="0" xfId="9" applyFont="1"/>
    <xf numFmtId="0" fontId="7" fillId="6" borderId="0" xfId="0" applyFont="1" applyFill="1"/>
    <xf numFmtId="41" fontId="3" fillId="0" borderId="12" xfId="9" applyFont="1" applyBorder="1"/>
    <xf numFmtId="41" fontId="7" fillId="0" borderId="0" xfId="9" applyFont="1" applyProtection="1">
      <protection locked="0"/>
    </xf>
    <xf numFmtId="41" fontId="2" fillId="0" borderId="0" xfId="9" applyFont="1"/>
    <xf numFmtId="41" fontId="1" fillId="8" borderId="24" xfId="0" applyNumberFormat="1" applyFont="1" applyFill="1" applyBorder="1"/>
    <xf numFmtId="165" fontId="1" fillId="6" borderId="11" xfId="0" applyNumberFormat="1" applyFont="1" applyFill="1" applyBorder="1"/>
    <xf numFmtId="3" fontId="2" fillId="0" borderId="0" xfId="0" applyNumberFormat="1" applyFont="1"/>
    <xf numFmtId="41" fontId="1" fillId="0" borderId="0" xfId="9" applyFont="1"/>
    <xf numFmtId="0" fontId="2" fillId="0" borderId="29" xfId="0" applyFont="1" applyBorder="1"/>
    <xf numFmtId="41" fontId="2" fillId="0" borderId="31" xfId="0" applyNumberFormat="1" applyFont="1" applyBorder="1"/>
    <xf numFmtId="41" fontId="2" fillId="0" borderId="35" xfId="0" applyNumberFormat="1" applyFont="1" applyBorder="1"/>
    <xf numFmtId="41" fontId="2" fillId="8" borderId="0" xfId="0" applyNumberFormat="1" applyFont="1" applyFill="1"/>
    <xf numFmtId="41" fontId="7" fillId="0" borderId="0" xfId="0" applyNumberFormat="1" applyFont="1"/>
    <xf numFmtId="41" fontId="8" fillId="0" borderId="0" xfId="0" applyNumberFormat="1" applyFont="1"/>
    <xf numFmtId="41" fontId="7" fillId="6" borderId="0" xfId="0" applyNumberFormat="1" applyFont="1" applyFill="1"/>
    <xf numFmtId="41" fontId="7" fillId="6" borderId="0" xfId="9" applyFont="1" applyFill="1"/>
    <xf numFmtId="0" fontId="59" fillId="8" borderId="0" xfId="0" applyFont="1" applyFill="1"/>
    <xf numFmtId="0" fontId="62" fillId="8" borderId="0" xfId="0" applyFont="1" applyFill="1" applyAlignment="1">
      <alignment vertical="center" wrapText="1"/>
    </xf>
    <xf numFmtId="0" fontId="64" fillId="8" borderId="0" xfId="0" applyFont="1" applyFill="1"/>
    <xf numFmtId="41" fontId="64" fillId="8" borderId="0" xfId="9" applyFont="1" applyFill="1"/>
    <xf numFmtId="0" fontId="65" fillId="14" borderId="27" xfId="0" applyFont="1" applyFill="1" applyBorder="1" applyAlignment="1">
      <alignment vertical="center" wrapText="1"/>
    </xf>
    <xf numFmtId="41" fontId="65" fillId="14" borderId="27" xfId="9" applyFont="1" applyFill="1" applyBorder="1"/>
    <xf numFmtId="0" fontId="65" fillId="14" borderId="29" xfId="0" applyFont="1" applyFill="1" applyBorder="1" applyAlignment="1">
      <alignment vertical="center" wrapText="1"/>
    </xf>
    <xf numFmtId="0" fontId="66" fillId="14" borderId="28" xfId="0" applyFont="1" applyFill="1" applyBorder="1" applyAlignment="1">
      <alignment horizontal="center" vertical="center" wrapText="1"/>
    </xf>
    <xf numFmtId="41" fontId="66" fillId="14" borderId="28" xfId="9" applyFont="1" applyFill="1" applyBorder="1" applyAlignment="1">
      <alignment horizontal="center" vertical="center" wrapText="1"/>
    </xf>
    <xf numFmtId="0" fontId="66" fillId="14" borderId="32" xfId="0" applyFont="1" applyFill="1" applyBorder="1" applyAlignment="1">
      <alignment horizontal="center" vertical="center" wrapText="1"/>
    </xf>
    <xf numFmtId="0" fontId="65" fillId="14" borderId="36" xfId="0" applyFont="1" applyFill="1" applyBorder="1"/>
    <xf numFmtId="41" fontId="65" fillId="14" borderId="36" xfId="9" applyFont="1" applyFill="1" applyBorder="1"/>
    <xf numFmtId="0" fontId="65" fillId="14" borderId="34" xfId="0" applyFont="1" applyFill="1" applyBorder="1"/>
    <xf numFmtId="41" fontId="65" fillId="14" borderId="35" xfId="9" applyFont="1" applyFill="1" applyBorder="1"/>
    <xf numFmtId="0" fontId="64" fillId="8" borderId="28" xfId="0" applyFont="1" applyFill="1" applyBorder="1"/>
    <xf numFmtId="41" fontId="64" fillId="8" borderId="28" xfId="9" applyFont="1" applyFill="1" applyBorder="1"/>
    <xf numFmtId="0" fontId="64" fillId="8" borderId="32" xfId="0" applyFont="1" applyFill="1" applyBorder="1"/>
    <xf numFmtId="0" fontId="64" fillId="8" borderId="33" xfId="0" applyFont="1" applyFill="1" applyBorder="1"/>
    <xf numFmtId="0" fontId="62" fillId="8" borderId="28" xfId="0" applyFont="1" applyFill="1" applyBorder="1" applyAlignment="1">
      <alignment vertical="center" wrapText="1"/>
    </xf>
    <xf numFmtId="0" fontId="62" fillId="8" borderId="28" xfId="0" applyFont="1" applyFill="1" applyBorder="1" applyAlignment="1">
      <alignment horizontal="right" vertical="center" wrapText="1"/>
    </xf>
    <xf numFmtId="41" fontId="67" fillId="8" borderId="28" xfId="9" applyFont="1" applyFill="1" applyBorder="1" applyAlignment="1">
      <alignment vertical="center" wrapText="1"/>
    </xf>
    <xf numFmtId="0" fontId="62" fillId="8" borderId="32" xfId="0" applyFont="1" applyFill="1" applyBorder="1" applyAlignment="1">
      <alignment vertical="center" wrapText="1"/>
    </xf>
    <xf numFmtId="0" fontId="62" fillId="8" borderId="33" xfId="0" applyFont="1" applyFill="1" applyBorder="1" applyAlignment="1">
      <alignment vertical="center" wrapText="1"/>
    </xf>
    <xf numFmtId="0" fontId="64" fillId="8" borderId="28" xfId="0" applyFont="1" applyFill="1" applyBorder="1" applyAlignment="1">
      <alignment vertical="center" wrapText="1"/>
    </xf>
    <xf numFmtId="0" fontId="67" fillId="8" borderId="28" xfId="0" applyFont="1" applyFill="1" applyBorder="1" applyAlignment="1">
      <alignment vertical="center" wrapText="1"/>
    </xf>
    <xf numFmtId="3" fontId="67" fillId="8" borderId="28" xfId="0" applyNumberFormat="1" applyFont="1" applyFill="1" applyBorder="1" applyAlignment="1">
      <alignment horizontal="right" vertical="center" wrapText="1"/>
    </xf>
    <xf numFmtId="0" fontId="67" fillId="8" borderId="32" xfId="0" applyFont="1" applyFill="1" applyBorder="1" applyAlignment="1">
      <alignment vertical="center" wrapText="1"/>
    </xf>
    <xf numFmtId="3" fontId="67" fillId="8" borderId="28" xfId="0" applyNumberFormat="1" applyFont="1" applyFill="1" applyBorder="1" applyAlignment="1">
      <alignment vertical="center" wrapText="1"/>
    </xf>
    <xf numFmtId="3" fontId="67" fillId="8" borderId="33" xfId="0" applyNumberFormat="1" applyFont="1" applyFill="1" applyBorder="1" applyAlignment="1">
      <alignment vertical="center" wrapText="1"/>
    </xf>
    <xf numFmtId="3" fontId="62" fillId="8" borderId="46" xfId="0" applyNumberFormat="1" applyFont="1" applyFill="1" applyBorder="1" applyAlignment="1">
      <alignment vertical="center" wrapText="1"/>
    </xf>
    <xf numFmtId="3" fontId="62" fillId="8" borderId="47" xfId="0" applyNumberFormat="1" applyFont="1" applyFill="1" applyBorder="1" applyAlignment="1">
      <alignment vertical="center" wrapText="1"/>
    </xf>
    <xf numFmtId="3" fontId="67" fillId="8" borderId="48" xfId="0" applyNumberFormat="1" applyFont="1" applyFill="1" applyBorder="1" applyAlignment="1">
      <alignment horizontal="right" vertical="center" wrapText="1"/>
    </xf>
    <xf numFmtId="41" fontId="67" fillId="8" borderId="36" xfId="9" applyFont="1" applyFill="1" applyBorder="1" applyAlignment="1">
      <alignment vertical="center" wrapText="1"/>
    </xf>
    <xf numFmtId="3" fontId="62" fillId="8" borderId="28" xfId="0" applyNumberFormat="1" applyFont="1" applyFill="1" applyBorder="1" applyAlignment="1">
      <alignment horizontal="right" vertical="center" wrapText="1"/>
    </xf>
    <xf numFmtId="41" fontId="62" fillId="8" borderId="28" xfId="9" applyFont="1" applyFill="1" applyBorder="1" applyAlignment="1">
      <alignment vertical="center" wrapText="1"/>
    </xf>
    <xf numFmtId="0" fontId="64" fillId="8" borderId="36" xfId="0" applyFont="1" applyFill="1" applyBorder="1"/>
    <xf numFmtId="0" fontId="62" fillId="15" borderId="21" xfId="0" applyFont="1" applyFill="1" applyBorder="1" applyAlignment="1">
      <alignment vertical="center" wrapText="1"/>
    </xf>
    <xf numFmtId="0" fontId="64" fillId="8" borderId="34" xfId="0" applyFont="1" applyFill="1" applyBorder="1"/>
    <xf numFmtId="41" fontId="64" fillId="8" borderId="36" xfId="9" applyFont="1" applyFill="1" applyBorder="1"/>
    <xf numFmtId="14" fontId="62" fillId="8" borderId="0" xfId="0" applyNumberFormat="1" applyFont="1" applyFill="1" applyAlignment="1">
      <alignment horizontal="left" vertical="center" wrapText="1"/>
    </xf>
    <xf numFmtId="20" fontId="62" fillId="8" borderId="0" xfId="0" applyNumberFormat="1" applyFont="1" applyFill="1" applyAlignment="1">
      <alignment horizontal="left" vertical="center" wrapText="1"/>
    </xf>
    <xf numFmtId="41" fontId="64" fillId="8" borderId="28" xfId="9" applyFont="1" applyFill="1" applyBorder="1" applyAlignment="1">
      <alignment horizontal="center"/>
    </xf>
    <xf numFmtId="41" fontId="67" fillId="8" borderId="28" xfId="9" applyFont="1" applyFill="1" applyBorder="1" applyAlignment="1">
      <alignment horizontal="center" vertical="center" wrapText="1"/>
    </xf>
    <xf numFmtId="41" fontId="68" fillId="15" borderId="24" xfId="9" applyFont="1" applyFill="1" applyBorder="1"/>
    <xf numFmtId="0" fontId="66" fillId="16" borderId="35" xfId="0" applyFont="1" applyFill="1" applyBorder="1" applyAlignment="1">
      <alignment horizontal="center" vertical="center" wrapText="1"/>
    </xf>
    <xf numFmtId="0" fontId="64" fillId="0" borderId="36" xfId="0" applyFont="1" applyBorder="1" applyAlignment="1">
      <alignment vertical="center" wrapText="1"/>
    </xf>
    <xf numFmtId="0" fontId="64" fillId="0" borderId="35" xfId="0" applyFont="1" applyBorder="1" applyAlignment="1">
      <alignment horizontal="center" vertical="center" wrapText="1"/>
    </xf>
    <xf numFmtId="0" fontId="66" fillId="16" borderId="24" xfId="0" applyFont="1" applyFill="1" applyBorder="1" applyAlignment="1">
      <alignment horizontal="center" vertical="center" wrapText="1"/>
    </xf>
    <xf numFmtId="0" fontId="68" fillId="0" borderId="36" xfId="0" applyFont="1" applyBorder="1" applyAlignment="1">
      <alignment horizontal="center" vertical="center" wrapText="1"/>
    </xf>
    <xf numFmtId="0" fontId="68" fillId="0" borderId="35" xfId="0" applyFont="1" applyBorder="1" applyAlignment="1">
      <alignment horizontal="center" vertical="center" wrapText="1"/>
    </xf>
    <xf numFmtId="0" fontId="64" fillId="0" borderId="36" xfId="0" applyFont="1" applyBorder="1" applyAlignment="1">
      <alignment horizontal="center" vertical="center" wrapText="1"/>
    </xf>
    <xf numFmtId="9" fontId="64" fillId="0" borderId="35" xfId="0" applyNumberFormat="1" applyFont="1" applyBorder="1" applyAlignment="1">
      <alignment horizontal="center" vertical="center" wrapText="1"/>
    </xf>
    <xf numFmtId="9" fontId="68" fillId="0" borderId="35" xfId="0" applyNumberFormat="1" applyFont="1" applyBorder="1" applyAlignment="1">
      <alignment horizontal="center" vertical="center" wrapText="1"/>
    </xf>
    <xf numFmtId="170" fontId="64" fillId="0" borderId="35" xfId="9" applyNumberFormat="1" applyFont="1" applyBorder="1" applyAlignment="1">
      <alignment horizontal="center" vertical="center" wrapText="1"/>
    </xf>
    <xf numFmtId="171" fontId="64" fillId="0" borderId="35" xfId="9" applyNumberFormat="1" applyFont="1" applyBorder="1" applyAlignment="1">
      <alignment horizontal="center" vertical="center" wrapText="1"/>
    </xf>
    <xf numFmtId="0" fontId="69" fillId="8" borderId="0" xfId="0" applyFont="1" applyFill="1"/>
    <xf numFmtId="41" fontId="69" fillId="8" borderId="0" xfId="9" applyFont="1" applyFill="1"/>
    <xf numFmtId="41" fontId="70" fillId="8" borderId="0" xfId="9" applyFont="1" applyFill="1"/>
    <xf numFmtId="41" fontId="71" fillId="8" borderId="0" xfId="9" applyFont="1" applyFill="1"/>
    <xf numFmtId="0" fontId="72" fillId="17" borderId="0" xfId="0" applyFont="1" applyFill="1" applyAlignment="1">
      <alignment horizontal="center"/>
    </xf>
    <xf numFmtId="0" fontId="72" fillId="8" borderId="0" xfId="0" applyFont="1" applyFill="1" applyAlignment="1">
      <alignment horizontal="center"/>
    </xf>
    <xf numFmtId="41" fontId="69" fillId="8" borderId="24" xfId="9" applyFont="1" applyFill="1" applyBorder="1" applyAlignment="1">
      <alignment horizontal="center"/>
    </xf>
    <xf numFmtId="41" fontId="70" fillId="8" borderId="24" xfId="9" applyFont="1" applyFill="1" applyBorder="1" applyAlignment="1">
      <alignment horizontal="center"/>
    </xf>
    <xf numFmtId="41" fontId="71" fillId="8" borderId="24" xfId="9" applyFont="1" applyFill="1" applyBorder="1" applyAlignment="1">
      <alignment horizontal="center"/>
    </xf>
    <xf numFmtId="41" fontId="69" fillId="8" borderId="36" xfId="9" applyFont="1" applyFill="1" applyBorder="1"/>
    <xf numFmtId="41" fontId="70" fillId="8" borderId="36" xfId="9" applyFont="1" applyFill="1" applyBorder="1"/>
    <xf numFmtId="41" fontId="71" fillId="8" borderId="36" xfId="9" applyFont="1" applyFill="1" applyBorder="1"/>
    <xf numFmtId="0" fontId="73" fillId="15" borderId="24" xfId="0" applyFont="1" applyFill="1" applyBorder="1" applyAlignment="1">
      <alignment horizontal="center"/>
    </xf>
    <xf numFmtId="41" fontId="73" fillId="15" borderId="24" xfId="9" applyFont="1" applyFill="1" applyBorder="1" applyAlignment="1">
      <alignment horizontal="center"/>
    </xf>
    <xf numFmtId="0" fontId="69" fillId="8" borderId="28" xfId="0" applyFont="1" applyFill="1" applyBorder="1"/>
    <xf numFmtId="0" fontId="69" fillId="8" borderId="32" xfId="0" applyFont="1" applyFill="1" applyBorder="1" applyAlignment="1">
      <alignment horizontal="center"/>
    </xf>
    <xf numFmtId="0" fontId="69" fillId="8" borderId="0" xfId="0" applyFont="1" applyFill="1" applyAlignment="1">
      <alignment horizontal="center"/>
    </xf>
    <xf numFmtId="41" fontId="69" fillId="8" borderId="33" xfId="9" applyFont="1" applyFill="1" applyBorder="1" applyAlignment="1">
      <alignment horizontal="center"/>
    </xf>
    <xf numFmtId="41" fontId="70" fillId="8" borderId="28" xfId="9" applyFont="1" applyFill="1" applyBorder="1"/>
    <xf numFmtId="41" fontId="71" fillId="8" borderId="28" xfId="9" applyFont="1" applyFill="1" applyBorder="1"/>
    <xf numFmtId="0" fontId="69" fillId="8" borderId="32" xfId="0" applyFont="1" applyFill="1" applyBorder="1"/>
    <xf numFmtId="41" fontId="69" fillId="8" borderId="33" xfId="9" applyFont="1" applyFill="1" applyBorder="1"/>
    <xf numFmtId="0" fontId="69" fillId="8" borderId="36" xfId="0" applyFont="1" applyFill="1" applyBorder="1"/>
    <xf numFmtId="0" fontId="69" fillId="8" borderId="34" xfId="0" applyFont="1" applyFill="1" applyBorder="1"/>
    <xf numFmtId="0" fontId="69" fillId="8" borderId="18" xfId="0" applyFont="1" applyFill="1" applyBorder="1"/>
    <xf numFmtId="41" fontId="69" fillId="8" borderId="35" xfId="9" applyFont="1" applyFill="1" applyBorder="1"/>
    <xf numFmtId="0" fontId="55" fillId="8" borderId="0" xfId="0" applyFont="1" applyFill="1"/>
    <xf numFmtId="0" fontId="55" fillId="8" borderId="24" xfId="0" applyFont="1" applyFill="1" applyBorder="1" applyAlignment="1">
      <alignment horizontal="center"/>
    </xf>
    <xf numFmtId="3" fontId="54" fillId="8" borderId="24" xfId="0" applyNumberFormat="1" applyFont="1" applyFill="1" applyBorder="1"/>
    <xf numFmtId="0" fontId="58" fillId="8" borderId="0" xfId="0" applyFont="1" applyFill="1" applyAlignment="1">
      <alignment vertical="center" wrapText="1"/>
    </xf>
    <xf numFmtId="0" fontId="74" fillId="18" borderId="1" xfId="0" applyFont="1" applyFill="1" applyBorder="1" applyAlignment="1">
      <alignment horizontal="center" vertical="center" wrapText="1"/>
    </xf>
    <xf numFmtId="0" fontId="75" fillId="8" borderId="0" xfId="0" applyFont="1" applyFill="1" applyAlignment="1">
      <alignment horizontal="center" vertical="center" wrapText="1"/>
    </xf>
    <xf numFmtId="0" fontId="54" fillId="8" borderId="1" xfId="0" applyFont="1" applyFill="1" applyBorder="1"/>
    <xf numFmtId="0" fontId="76" fillId="8" borderId="1" xfId="0" applyFont="1" applyFill="1" applyBorder="1" applyAlignment="1">
      <alignment horizontal="center"/>
    </xf>
    <xf numFmtId="0" fontId="58" fillId="0" borderId="1" xfId="0" applyFont="1" applyBorder="1" applyAlignment="1">
      <alignment horizontal="center" vertical="center" wrapText="1"/>
    </xf>
    <xf numFmtId="0" fontId="77" fillId="8" borderId="0" xfId="0" applyFont="1" applyFill="1" applyAlignment="1">
      <alignment horizontal="center" vertical="center" wrapText="1"/>
    </xf>
    <xf numFmtId="3" fontId="58" fillId="0" borderId="1" xfId="0" applyNumberFormat="1" applyFont="1" applyBorder="1" applyAlignment="1">
      <alignment horizontal="center" vertical="center" wrapText="1"/>
    </xf>
    <xf numFmtId="171" fontId="55" fillId="8" borderId="1" xfId="9" applyNumberFormat="1" applyFont="1" applyFill="1" applyBorder="1"/>
    <xf numFmtId="41" fontId="78" fillId="8" borderId="1" xfId="9" applyFont="1" applyFill="1" applyBorder="1"/>
    <xf numFmtId="171" fontId="55" fillId="8" borderId="13" xfId="9" applyNumberFormat="1" applyFont="1" applyFill="1" applyBorder="1"/>
    <xf numFmtId="41" fontId="75" fillId="14" borderId="1" xfId="9" applyFont="1" applyFill="1" applyBorder="1"/>
    <xf numFmtId="0" fontId="75" fillId="14" borderId="0" xfId="0" applyFont="1" applyFill="1"/>
    <xf numFmtId="0" fontId="54" fillId="8" borderId="24" xfId="0" applyFont="1" applyFill="1" applyBorder="1" applyAlignment="1">
      <alignment horizontal="center"/>
    </xf>
    <xf numFmtId="0" fontId="76" fillId="8" borderId="24" xfId="0" applyFont="1" applyFill="1" applyBorder="1" applyAlignment="1">
      <alignment horizontal="center"/>
    </xf>
    <xf numFmtId="0" fontId="79" fillId="8" borderId="24" xfId="0" applyFont="1" applyFill="1" applyBorder="1" applyAlignment="1">
      <alignment horizontal="center"/>
    </xf>
    <xf numFmtId="41" fontId="55" fillId="8" borderId="36" xfId="9" applyFont="1" applyFill="1" applyBorder="1"/>
    <xf numFmtId="41" fontId="78" fillId="8" borderId="36" xfId="9" applyFont="1" applyFill="1" applyBorder="1"/>
    <xf numFmtId="41" fontId="56" fillId="8" borderId="36" xfId="9" applyFont="1" applyFill="1" applyBorder="1"/>
    <xf numFmtId="0" fontId="55" fillId="8" borderId="28" xfId="0" applyFont="1" applyFill="1" applyBorder="1"/>
    <xf numFmtId="0" fontId="55" fillId="8" borderId="32" xfId="0" applyFont="1" applyFill="1" applyBorder="1" applyAlignment="1">
      <alignment horizontal="center"/>
    </xf>
    <xf numFmtId="0" fontId="55" fillId="8" borderId="0" xfId="0" applyFont="1" applyFill="1" applyAlignment="1">
      <alignment horizontal="center"/>
    </xf>
    <xf numFmtId="0" fontId="55" fillId="8" borderId="33" xfId="0" applyFont="1" applyFill="1" applyBorder="1" applyAlignment="1">
      <alignment horizontal="center"/>
    </xf>
    <xf numFmtId="0" fontId="55" fillId="8" borderId="32" xfId="0" applyFont="1" applyFill="1" applyBorder="1"/>
    <xf numFmtId="0" fontId="55" fillId="8" borderId="33" xfId="0" applyFont="1" applyFill="1" applyBorder="1"/>
    <xf numFmtId="0" fontId="55" fillId="8" borderId="36" xfId="0" applyFont="1" applyFill="1" applyBorder="1"/>
    <xf numFmtId="0" fontId="55" fillId="8" borderId="34" xfId="0" applyFont="1" applyFill="1" applyBorder="1"/>
    <xf numFmtId="0" fontId="55" fillId="8" borderId="18" xfId="0" applyFont="1" applyFill="1" applyBorder="1"/>
    <xf numFmtId="0" fontId="55" fillId="8" borderId="35" xfId="0" applyFont="1" applyFill="1" applyBorder="1"/>
    <xf numFmtId="3" fontId="54" fillId="8" borderId="36" xfId="0" applyNumberFormat="1" applyFont="1" applyFill="1" applyBorder="1" applyAlignment="1">
      <alignment vertical="center" wrapText="1"/>
    </xf>
    <xf numFmtId="0" fontId="54" fillId="8" borderId="0" xfId="0" applyFont="1" applyFill="1" applyAlignment="1">
      <alignment vertical="center" wrapText="1"/>
    </xf>
    <xf numFmtId="0" fontId="0" fillId="8" borderId="0" xfId="0" applyFill="1" applyAlignment="1">
      <alignment vertical="center" wrapText="1"/>
    </xf>
    <xf numFmtId="0" fontId="74" fillId="8" borderId="0" xfId="0" applyFont="1" applyFill="1" applyAlignment="1">
      <alignment horizontal="center" vertical="center" wrapText="1"/>
    </xf>
    <xf numFmtId="0" fontId="58" fillId="8" borderId="0" xfId="0" applyFont="1" applyFill="1" applyAlignment="1">
      <alignment horizontal="center" vertical="center" wrapText="1"/>
    </xf>
    <xf numFmtId="171" fontId="55" fillId="8" borderId="12" xfId="9" applyNumberFormat="1" applyFont="1" applyFill="1" applyBorder="1"/>
    <xf numFmtId="0" fontId="54" fillId="8" borderId="0" xfId="0" applyFont="1" applyFill="1" applyAlignment="1">
      <alignment vertical="center"/>
    </xf>
    <xf numFmtId="0" fontId="57" fillId="8" borderId="0" xfId="0" applyFont="1" applyFill="1" applyAlignment="1">
      <alignment vertical="center"/>
    </xf>
    <xf numFmtId="0" fontId="74" fillId="18" borderId="1" xfId="0" applyFont="1" applyFill="1" applyBorder="1" applyAlignment="1">
      <alignment vertical="center"/>
    </xf>
    <xf numFmtId="0" fontId="74" fillId="8" borderId="0" xfId="0" applyFont="1" applyFill="1" applyAlignment="1">
      <alignment vertical="center"/>
    </xf>
    <xf numFmtId="0" fontId="74" fillId="18" borderId="1" xfId="0" applyFont="1" applyFill="1" applyBorder="1" applyAlignment="1">
      <alignment horizontal="center" vertical="center"/>
    </xf>
    <xf numFmtId="0" fontId="58" fillId="19" borderId="1" xfId="0" applyFont="1" applyFill="1" applyBorder="1" applyAlignment="1">
      <alignment vertical="center"/>
    </xf>
    <xf numFmtId="0" fontId="58" fillId="8" borderId="0" xfId="0" applyFont="1" applyFill="1" applyAlignment="1">
      <alignment vertical="center"/>
    </xf>
    <xf numFmtId="3" fontId="58" fillId="19" borderId="1" xfId="0" applyNumberFormat="1" applyFont="1" applyFill="1" applyBorder="1" applyAlignment="1">
      <alignment horizontal="right" vertical="center"/>
    </xf>
    <xf numFmtId="0" fontId="58" fillId="19" borderId="1" xfId="0" applyFont="1" applyFill="1" applyBorder="1" applyAlignment="1">
      <alignment horizontal="center" vertical="center"/>
    </xf>
    <xf numFmtId="9" fontId="58" fillId="19" borderId="1" xfId="0" applyNumberFormat="1" applyFont="1" applyFill="1" applyBorder="1" applyAlignment="1">
      <alignment horizontal="center" vertical="center"/>
    </xf>
    <xf numFmtId="0" fontId="54" fillId="0" borderId="1" xfId="0" applyFont="1" applyBorder="1" applyAlignment="1">
      <alignment vertical="center"/>
    </xf>
    <xf numFmtId="3" fontId="54" fillId="0" borderId="1" xfId="0" applyNumberFormat="1" applyFont="1" applyBorder="1" applyAlignment="1">
      <alignment horizontal="right" vertical="center"/>
    </xf>
    <xf numFmtId="0" fontId="58" fillId="19" borderId="0" xfId="0" applyFont="1" applyFill="1" applyAlignment="1">
      <alignment vertical="center"/>
    </xf>
    <xf numFmtId="0" fontId="56" fillId="8" borderId="0" xfId="0" applyFont="1" applyFill="1"/>
    <xf numFmtId="3" fontId="58" fillId="19" borderId="13" xfId="0" applyNumberFormat="1" applyFont="1" applyFill="1" applyBorder="1" applyAlignment="1">
      <alignment horizontal="right" vertical="center"/>
    </xf>
    <xf numFmtId="3" fontId="54" fillId="0" borderId="24" xfId="0" applyNumberFormat="1" applyFont="1" applyBorder="1" applyAlignment="1">
      <alignment horizontal="right" vertical="center"/>
    </xf>
    <xf numFmtId="0" fontId="80" fillId="8" borderId="0" xfId="0" applyFont="1" applyFill="1"/>
    <xf numFmtId="3" fontId="55" fillId="8" borderId="36" xfId="0" applyNumberFormat="1" applyFont="1" applyFill="1" applyBorder="1" applyAlignment="1">
      <alignment horizontal="right"/>
    </xf>
    <xf numFmtId="41" fontId="55" fillId="8" borderId="36" xfId="9" applyFont="1" applyFill="1" applyBorder="1" applyAlignment="1">
      <alignment horizontal="right"/>
    </xf>
    <xf numFmtId="41" fontId="55" fillId="8" borderId="0" xfId="9" applyFont="1" applyFill="1" applyBorder="1" applyAlignment="1">
      <alignment horizontal="right"/>
    </xf>
    <xf numFmtId="41" fontId="78" fillId="8" borderId="0" xfId="9" applyFont="1" applyFill="1" applyBorder="1"/>
    <xf numFmtId="41" fontId="56" fillId="8" borderId="0" xfId="9" applyFont="1" applyFill="1" applyBorder="1"/>
    <xf numFmtId="41" fontId="0" fillId="8" borderId="0" xfId="9" applyFont="1" applyFill="1"/>
    <xf numFmtId="41" fontId="69" fillId="0" borderId="27" xfId="9" applyFont="1" applyFill="1" applyBorder="1"/>
    <xf numFmtId="41" fontId="70" fillId="8" borderId="27" xfId="9" applyFont="1" applyFill="1" applyBorder="1"/>
    <xf numFmtId="41" fontId="71" fillId="8" borderId="27" xfId="9" applyFont="1" applyFill="1" applyBorder="1"/>
    <xf numFmtId="41" fontId="69" fillId="8" borderId="28" xfId="9" applyFont="1" applyFill="1" applyBorder="1"/>
    <xf numFmtId="41" fontId="0" fillId="8" borderId="0" xfId="9" applyFont="1" applyFill="1" applyBorder="1"/>
    <xf numFmtId="0" fontId="55" fillId="0" borderId="1" xfId="0" applyFont="1" applyBorder="1" applyAlignment="1">
      <alignment horizontal="center" vertical="center" wrapText="1"/>
    </xf>
    <xf numFmtId="3" fontId="55" fillId="0" borderId="1" xfId="0" applyNumberFormat="1" applyFont="1" applyBorder="1" applyAlignment="1">
      <alignment horizontal="right" vertical="center" wrapText="1"/>
    </xf>
    <xf numFmtId="41" fontId="70" fillId="8" borderId="24" xfId="9" applyFont="1" applyFill="1" applyBorder="1"/>
    <xf numFmtId="41" fontId="71" fillId="8" borderId="24" xfId="9" applyFont="1" applyFill="1" applyBorder="1"/>
    <xf numFmtId="41" fontId="71" fillId="8" borderId="0" xfId="9" applyFont="1" applyFill="1" applyBorder="1"/>
    <xf numFmtId="41" fontId="69" fillId="8" borderId="0" xfId="9" applyFont="1" applyFill="1" applyBorder="1"/>
    <xf numFmtId="0" fontId="73" fillId="8" borderId="0" xfId="0" applyFont="1" applyFill="1" applyAlignment="1">
      <alignment horizontal="center"/>
    </xf>
    <xf numFmtId="41" fontId="71" fillId="8" borderId="0" xfId="9" applyFont="1" applyFill="1" applyBorder="1" applyAlignment="1">
      <alignment horizontal="center"/>
    </xf>
    <xf numFmtId="0" fontId="54" fillId="8" borderId="0" xfId="0" applyFont="1" applyFill="1"/>
    <xf numFmtId="41" fontId="69" fillId="8" borderId="0" xfId="9" applyFont="1" applyFill="1" applyBorder="1" applyAlignment="1">
      <alignment horizontal="center"/>
    </xf>
    <xf numFmtId="0" fontId="55" fillId="8" borderId="1" xfId="0" applyFont="1" applyFill="1" applyBorder="1"/>
    <xf numFmtId="0" fontId="73" fillId="8" borderId="0" xfId="0" applyFont="1" applyFill="1" applyAlignment="1">
      <alignment horizontal="left"/>
    </xf>
    <xf numFmtId="41" fontId="70" fillId="8" borderId="26" xfId="9" applyFont="1" applyFill="1" applyBorder="1" applyAlignment="1">
      <alignment horizontal="center"/>
    </xf>
    <xf numFmtId="41" fontId="55" fillId="8" borderId="0" xfId="9" applyFont="1" applyFill="1" applyBorder="1"/>
    <xf numFmtId="0" fontId="71" fillId="8" borderId="0" xfId="0" applyFont="1" applyFill="1"/>
    <xf numFmtId="0" fontId="73" fillId="8" borderId="0" xfId="0" applyFont="1" applyFill="1"/>
    <xf numFmtId="41" fontId="55" fillId="8" borderId="0" xfId="9" applyFont="1" applyFill="1"/>
    <xf numFmtId="0" fontId="69" fillId="15" borderId="1" xfId="0" applyFont="1" applyFill="1" applyBorder="1" applyAlignment="1">
      <alignment horizontal="center"/>
    </xf>
    <xf numFmtId="0" fontId="82" fillId="8" borderId="1" xfId="0" applyFont="1" applyFill="1" applyBorder="1"/>
    <xf numFmtId="171" fontId="82" fillId="8" borderId="1" xfId="9" applyNumberFormat="1" applyFont="1" applyFill="1" applyBorder="1"/>
    <xf numFmtId="0" fontId="69" fillId="8" borderId="1" xfId="0" applyFont="1" applyFill="1" applyBorder="1"/>
    <xf numFmtId="171" fontId="69" fillId="8" borderId="1" xfId="9" applyNumberFormat="1" applyFont="1" applyFill="1" applyBorder="1" applyAlignment="1">
      <alignment horizontal="center"/>
    </xf>
    <xf numFmtId="171" fontId="72" fillId="16" borderId="1" xfId="9" applyNumberFormat="1" applyFont="1" applyFill="1" applyBorder="1"/>
    <xf numFmtId="171" fontId="69" fillId="8" borderId="1" xfId="9" applyNumberFormat="1" applyFont="1" applyFill="1" applyBorder="1"/>
    <xf numFmtId="0" fontId="69" fillId="6" borderId="0" xfId="0" applyFont="1" applyFill="1"/>
    <xf numFmtId="0" fontId="82" fillId="8" borderId="0" xfId="0" applyFont="1" applyFill="1" applyAlignment="1">
      <alignment horizontal="center" vertical="center"/>
    </xf>
    <xf numFmtId="0" fontId="69" fillId="8" borderId="50" xfId="0" applyFont="1" applyFill="1" applyBorder="1" applyAlignment="1">
      <alignment horizontal="center"/>
    </xf>
    <xf numFmtId="0" fontId="69" fillId="8" borderId="1" xfId="0" applyFont="1" applyFill="1" applyBorder="1" applyAlignment="1">
      <alignment horizontal="center"/>
    </xf>
    <xf numFmtId="0" fontId="69" fillId="8" borderId="0" xfId="0" applyFont="1" applyFill="1" applyAlignment="1">
      <alignment horizontal="right"/>
    </xf>
    <xf numFmtId="0" fontId="69" fillId="8" borderId="33" xfId="0" applyFont="1" applyFill="1" applyBorder="1"/>
    <xf numFmtId="0" fontId="69" fillId="8" borderId="35" xfId="0" applyFont="1" applyFill="1" applyBorder="1"/>
    <xf numFmtId="0" fontId="69" fillId="8" borderId="27" xfId="0" applyFont="1" applyFill="1" applyBorder="1"/>
    <xf numFmtId="0" fontId="69" fillId="8" borderId="24" xfId="0" applyFont="1" applyFill="1" applyBorder="1" applyAlignment="1">
      <alignment horizontal="center"/>
    </xf>
    <xf numFmtId="0" fontId="70" fillId="8" borderId="24" xfId="0" applyFont="1" applyFill="1" applyBorder="1" applyAlignment="1">
      <alignment horizontal="center"/>
    </xf>
    <xf numFmtId="0" fontId="71" fillId="8" borderId="24" xfId="0" applyFont="1" applyFill="1" applyBorder="1" applyAlignment="1">
      <alignment horizontal="center"/>
    </xf>
    <xf numFmtId="41" fontId="69" fillId="8" borderId="27" xfId="9" applyFont="1" applyFill="1" applyBorder="1"/>
    <xf numFmtId="0" fontId="70" fillId="8" borderId="0" xfId="0" applyFont="1" applyFill="1"/>
    <xf numFmtId="0" fontId="84" fillId="6" borderId="0" xfId="0" applyFont="1" applyFill="1"/>
    <xf numFmtId="0" fontId="84" fillId="8" borderId="1" xfId="0" applyFont="1" applyFill="1" applyBorder="1" applyAlignment="1">
      <alignment horizontal="center" vertical="center" wrapText="1"/>
    </xf>
    <xf numFmtId="0" fontId="84" fillId="8" borderId="0" xfId="0" applyFont="1" applyFill="1" applyAlignment="1">
      <alignment vertical="center" wrapText="1"/>
    </xf>
    <xf numFmtId="0" fontId="72" fillId="14" borderId="1" xfId="0" applyFont="1" applyFill="1" applyBorder="1" applyAlignment="1">
      <alignment horizontal="center" vertical="center" wrapText="1"/>
    </xf>
    <xf numFmtId="0" fontId="85" fillId="8" borderId="1" xfId="0" applyFont="1" applyFill="1" applyBorder="1" applyAlignment="1">
      <alignment vertical="center" wrapText="1"/>
    </xf>
    <xf numFmtId="3" fontId="85" fillId="8" borderId="1" xfId="0" applyNumberFormat="1" applyFont="1" applyFill="1" applyBorder="1" applyAlignment="1">
      <alignment horizontal="right" vertical="center" wrapText="1"/>
    </xf>
    <xf numFmtId="3" fontId="72" fillId="14" borderId="1" xfId="0" applyNumberFormat="1" applyFont="1" applyFill="1" applyBorder="1" applyAlignment="1">
      <alignment horizontal="right" vertical="center" wrapText="1"/>
    </xf>
    <xf numFmtId="3" fontId="69" fillId="8" borderId="1" xfId="0" applyNumberFormat="1" applyFont="1" applyFill="1" applyBorder="1"/>
    <xf numFmtId="3" fontId="72" fillId="14" borderId="1" xfId="0" applyNumberFormat="1" applyFont="1" applyFill="1" applyBorder="1"/>
    <xf numFmtId="41" fontId="73" fillId="8" borderId="28" xfId="9" applyFont="1" applyFill="1" applyBorder="1"/>
    <xf numFmtId="41" fontId="73" fillId="8" borderId="36" xfId="9" applyFont="1" applyFill="1" applyBorder="1"/>
    <xf numFmtId="41" fontId="69" fillId="8" borderId="36" xfId="9" applyFont="1" applyFill="1" applyBorder="1" applyAlignment="1">
      <alignment horizontal="center"/>
    </xf>
    <xf numFmtId="41" fontId="70" fillId="8" borderId="36" xfId="9" applyFont="1" applyFill="1" applyBorder="1" applyAlignment="1">
      <alignment horizontal="center"/>
    </xf>
    <xf numFmtId="41" fontId="71" fillId="8" borderId="36" xfId="9" applyFont="1" applyFill="1" applyBorder="1" applyAlignment="1">
      <alignment horizontal="center"/>
    </xf>
    <xf numFmtId="0" fontId="69" fillId="8" borderId="0" xfId="0" applyFont="1" applyFill="1" applyAlignment="1">
      <alignment horizontal="left"/>
    </xf>
    <xf numFmtId="41" fontId="69" fillId="8" borderId="33" xfId="9" applyFont="1" applyFill="1" applyBorder="1" applyAlignment="1">
      <alignment horizontal="left"/>
    </xf>
    <xf numFmtId="0" fontId="86" fillId="14" borderId="27" xfId="0" applyFont="1" applyFill="1" applyBorder="1" applyAlignment="1">
      <alignment horizontal="center"/>
    </xf>
    <xf numFmtId="0" fontId="86" fillId="14" borderId="36" xfId="0" applyFont="1" applyFill="1" applyBorder="1" applyAlignment="1">
      <alignment horizontal="center"/>
    </xf>
    <xf numFmtId="0" fontId="72" fillId="14" borderId="1" xfId="0" applyFont="1" applyFill="1" applyBorder="1" applyAlignment="1">
      <alignment horizontal="center"/>
    </xf>
    <xf numFmtId="0" fontId="72" fillId="17" borderId="1" xfId="0" applyFont="1" applyFill="1" applyBorder="1" applyAlignment="1">
      <alignment horizontal="center"/>
    </xf>
    <xf numFmtId="0" fontId="72" fillId="16" borderId="1" xfId="0" applyFont="1" applyFill="1" applyBorder="1" applyAlignment="1">
      <alignment horizontal="center"/>
    </xf>
    <xf numFmtId="0" fontId="69" fillId="8" borderId="32" xfId="0" applyFont="1" applyFill="1" applyBorder="1" applyAlignment="1">
      <alignment horizontal="right"/>
    </xf>
    <xf numFmtId="0" fontId="69" fillId="8" borderId="9" xfId="0" applyFont="1" applyFill="1" applyBorder="1"/>
    <xf numFmtId="0" fontId="69" fillId="8" borderId="8" xfId="0" applyFont="1" applyFill="1" applyBorder="1"/>
    <xf numFmtId="3" fontId="69" fillId="8" borderId="0" xfId="0" applyNumberFormat="1" applyFont="1" applyFill="1"/>
    <xf numFmtId="41" fontId="69" fillId="6" borderId="36" xfId="9" applyFont="1" applyFill="1" applyBorder="1"/>
    <xf numFmtId="0" fontId="69" fillId="15" borderId="1" xfId="0" applyFont="1" applyFill="1" applyBorder="1"/>
    <xf numFmtId="0" fontId="69" fillId="8" borderId="29" xfId="0" applyFont="1" applyFill="1" applyBorder="1" applyAlignment="1">
      <alignment horizontal="center"/>
    </xf>
    <xf numFmtId="0" fontId="69" fillId="8" borderId="30" xfId="0" applyFont="1" applyFill="1" applyBorder="1" applyAlignment="1">
      <alignment horizontal="left"/>
    </xf>
    <xf numFmtId="41" fontId="69" fillId="8" borderId="31" xfId="9" applyFont="1" applyFill="1" applyBorder="1" applyAlignment="1">
      <alignment horizontal="left"/>
    </xf>
    <xf numFmtId="41" fontId="73" fillId="8" borderId="27" xfId="9" applyFont="1" applyFill="1" applyBorder="1"/>
    <xf numFmtId="41" fontId="55" fillId="8" borderId="0" xfId="0" applyNumberFormat="1" applyFont="1" applyFill="1"/>
    <xf numFmtId="41" fontId="55" fillId="6" borderId="24" xfId="0" applyNumberFormat="1" applyFont="1" applyFill="1" applyBorder="1"/>
    <xf numFmtId="0" fontId="74" fillId="14" borderId="1" xfId="0" applyFont="1" applyFill="1" applyBorder="1" applyAlignment="1">
      <alignment horizontal="center" vertical="center" wrapText="1"/>
    </xf>
    <xf numFmtId="0" fontId="87" fillId="6" borderId="1" xfId="0" applyFont="1" applyFill="1" applyBorder="1" applyAlignment="1">
      <alignment horizontal="center" vertical="center" wrapText="1"/>
    </xf>
    <xf numFmtId="14" fontId="58" fillId="19" borderId="1" xfId="0" applyNumberFormat="1" applyFont="1" applyFill="1" applyBorder="1" applyAlignment="1">
      <alignment horizontal="center" vertical="center" wrapText="1"/>
    </xf>
    <xf numFmtId="3" fontId="58" fillId="19" borderId="1" xfId="0" applyNumberFormat="1" applyFont="1" applyFill="1" applyBorder="1" applyAlignment="1">
      <alignment horizontal="right" vertical="center" wrapText="1"/>
    </xf>
    <xf numFmtId="14" fontId="55" fillId="6" borderId="1" xfId="0" applyNumberFormat="1" applyFont="1" applyFill="1" applyBorder="1" applyAlignment="1">
      <alignment horizontal="center" vertical="center" wrapText="1"/>
    </xf>
    <xf numFmtId="3" fontId="55" fillId="6" borderId="1" xfId="0" applyNumberFormat="1" applyFont="1" applyFill="1" applyBorder="1" applyAlignment="1">
      <alignment horizontal="right" vertical="center" wrapText="1"/>
    </xf>
    <xf numFmtId="3" fontId="80" fillId="6" borderId="1" xfId="0" applyNumberFormat="1" applyFont="1" applyFill="1" applyBorder="1" applyAlignment="1">
      <alignment horizontal="right" vertical="center" wrapText="1"/>
    </xf>
    <xf numFmtId="3" fontId="57" fillId="19" borderId="1" xfId="0" applyNumberFormat="1" applyFont="1" applyFill="1" applyBorder="1" applyAlignment="1">
      <alignment horizontal="right" vertical="center" wrapText="1"/>
    </xf>
    <xf numFmtId="0" fontId="74" fillId="16" borderId="1" xfId="0" applyFont="1" applyFill="1" applyBorder="1" applyAlignment="1">
      <alignment horizontal="center" vertical="center" wrapText="1"/>
    </xf>
    <xf numFmtId="14" fontId="55" fillId="0" borderId="1" xfId="0" applyNumberFormat="1" applyFont="1" applyBorder="1" applyAlignment="1">
      <alignment horizontal="center" vertical="center" wrapText="1"/>
    </xf>
    <xf numFmtId="3" fontId="80" fillId="8" borderId="1" xfId="0" applyNumberFormat="1" applyFont="1" applyFill="1" applyBorder="1" applyAlignment="1">
      <alignment horizontal="right" vertical="center" wrapText="1"/>
    </xf>
    <xf numFmtId="3" fontId="87" fillId="8" borderId="1" xfId="0" applyNumberFormat="1" applyFont="1" applyFill="1" applyBorder="1" applyAlignment="1">
      <alignment horizontal="right" vertical="center" wrapText="1"/>
    </xf>
    <xf numFmtId="3" fontId="55" fillId="8" borderId="0" xfId="0" applyNumberFormat="1" applyFont="1" applyFill="1"/>
    <xf numFmtId="0" fontId="75" fillId="14" borderId="24" xfId="0" applyFont="1" applyFill="1" applyBorder="1" applyAlignment="1">
      <alignment horizontal="center"/>
    </xf>
    <xf numFmtId="3" fontId="75" fillId="14" borderId="24" xfId="0" applyNumberFormat="1" applyFont="1" applyFill="1" applyBorder="1"/>
    <xf numFmtId="0" fontId="76" fillId="8" borderId="0" xfId="0" applyFont="1" applyFill="1"/>
    <xf numFmtId="0" fontId="77" fillId="14" borderId="1" xfId="0" applyFont="1" applyFill="1" applyBorder="1" applyAlignment="1">
      <alignment horizontal="center" vertical="center" wrapText="1"/>
    </xf>
    <xf numFmtId="0" fontId="58" fillId="19" borderId="1" xfId="0" applyFont="1" applyFill="1" applyBorder="1" applyAlignment="1">
      <alignment vertical="center" wrapText="1"/>
    </xf>
    <xf numFmtId="3" fontId="58" fillId="19" borderId="1" xfId="0" applyNumberFormat="1" applyFont="1" applyFill="1" applyBorder="1" applyAlignment="1">
      <alignment horizontal="center" vertical="center" wrapText="1"/>
    </xf>
    <xf numFmtId="0" fontId="0" fillId="19" borderId="1" xfId="0" applyFill="1" applyBorder="1" applyAlignment="1">
      <alignment vertical="center" wrapText="1"/>
    </xf>
    <xf numFmtId="0" fontId="58" fillId="19" borderId="1" xfId="0" applyFont="1" applyFill="1" applyBorder="1" applyAlignment="1">
      <alignment horizontal="center" vertical="center" wrapText="1"/>
    </xf>
    <xf numFmtId="3" fontId="58" fillId="21" borderId="1" xfId="0" applyNumberFormat="1" applyFont="1" applyFill="1" applyBorder="1" applyAlignment="1">
      <alignment horizontal="center" vertical="center" wrapText="1"/>
    </xf>
    <xf numFmtId="4" fontId="58" fillId="19" borderId="1" xfId="0" applyNumberFormat="1" applyFont="1" applyFill="1" applyBorder="1" applyAlignment="1">
      <alignment horizontal="center" vertical="center" wrapText="1"/>
    </xf>
    <xf numFmtId="3" fontId="58" fillId="21" borderId="13" xfId="0" applyNumberFormat="1" applyFont="1" applyFill="1" applyBorder="1" applyAlignment="1">
      <alignment horizontal="center" vertical="center" wrapText="1"/>
    </xf>
    <xf numFmtId="3" fontId="58" fillId="19" borderId="10" xfId="0" applyNumberFormat="1" applyFont="1" applyFill="1" applyBorder="1" applyAlignment="1">
      <alignment horizontal="center" vertical="center" wrapText="1"/>
    </xf>
    <xf numFmtId="3" fontId="57" fillId="21" borderId="24" xfId="0" applyNumberFormat="1" applyFont="1" applyFill="1" applyBorder="1" applyAlignment="1">
      <alignment horizontal="center" vertical="center" wrapText="1"/>
    </xf>
    <xf numFmtId="0" fontId="0" fillId="19" borderId="12" xfId="0" applyFill="1" applyBorder="1" applyAlignment="1">
      <alignment vertical="center" wrapText="1"/>
    </xf>
    <xf numFmtId="0" fontId="58" fillId="19" borderId="12" xfId="0" applyFont="1" applyFill="1" applyBorder="1" applyAlignment="1">
      <alignment horizontal="center" vertical="center" wrapText="1"/>
    </xf>
    <xf numFmtId="4" fontId="58" fillId="19" borderId="12" xfId="0" applyNumberFormat="1" applyFont="1" applyFill="1" applyBorder="1" applyAlignment="1">
      <alignment horizontal="center" vertical="center" wrapText="1"/>
    </xf>
    <xf numFmtId="0" fontId="75" fillId="16" borderId="1" xfId="0" applyFont="1" applyFill="1" applyBorder="1" applyAlignment="1">
      <alignment horizontal="center" vertical="center" wrapText="1"/>
    </xf>
    <xf numFmtId="3" fontId="55" fillId="0" borderId="1" xfId="0" applyNumberFormat="1" applyFont="1" applyBorder="1" applyAlignment="1">
      <alignment horizontal="center" vertical="center" wrapText="1"/>
    </xf>
    <xf numFmtId="4" fontId="55" fillId="0" borderId="1" xfId="0" applyNumberFormat="1" applyFont="1" applyBorder="1" applyAlignment="1">
      <alignment horizontal="center" vertical="center" wrapText="1"/>
    </xf>
    <xf numFmtId="3" fontId="75" fillId="16" borderId="1" xfId="0" applyNumberFormat="1" applyFont="1" applyFill="1" applyBorder="1" applyAlignment="1">
      <alignment horizontal="right" vertical="center" wrapText="1"/>
    </xf>
    <xf numFmtId="0" fontId="55" fillId="6" borderId="24" xfId="0" applyFont="1" applyFill="1" applyBorder="1" applyAlignment="1">
      <alignment horizontal="center"/>
    </xf>
    <xf numFmtId="0" fontId="55" fillId="6" borderId="21" xfId="0" applyFont="1" applyFill="1" applyBorder="1" applyAlignment="1">
      <alignment horizontal="center"/>
    </xf>
    <xf numFmtId="0" fontId="55" fillId="8" borderId="15" xfId="0" applyFont="1" applyFill="1" applyBorder="1" applyAlignment="1">
      <alignment horizontal="center"/>
    </xf>
    <xf numFmtId="41" fontId="55" fillId="8" borderId="15" xfId="9" applyFont="1" applyFill="1" applyBorder="1"/>
    <xf numFmtId="41" fontId="55" fillId="8" borderId="7" xfId="9" applyFont="1" applyFill="1" applyBorder="1"/>
    <xf numFmtId="41" fontId="75" fillId="14" borderId="51" xfId="9" applyFont="1" applyFill="1" applyBorder="1"/>
    <xf numFmtId="0" fontId="55" fillId="8" borderId="1" xfId="0" applyFont="1" applyFill="1" applyBorder="1" applyAlignment="1">
      <alignment horizontal="center"/>
    </xf>
    <xf numFmtId="41" fontId="55" fillId="8" borderId="1" xfId="9" applyFont="1" applyFill="1" applyBorder="1"/>
    <xf numFmtId="41" fontId="55" fillId="8" borderId="10" xfId="9" applyFont="1" applyFill="1" applyBorder="1"/>
    <xf numFmtId="41" fontId="75" fillId="14" borderId="52" xfId="9" applyFont="1" applyFill="1" applyBorder="1"/>
    <xf numFmtId="41" fontId="75" fillId="14" borderId="53" xfId="9" applyFont="1" applyFill="1" applyBorder="1"/>
    <xf numFmtId="0" fontId="88" fillId="15" borderId="1" xfId="0" applyFont="1" applyFill="1" applyBorder="1" applyAlignment="1">
      <alignment horizontal="center" vertical="center" wrapText="1"/>
    </xf>
    <xf numFmtId="3" fontId="88" fillId="8" borderId="1" xfId="0" applyNumberFormat="1" applyFont="1" applyFill="1" applyBorder="1" applyAlignment="1">
      <alignment horizontal="right" vertical="center" wrapText="1"/>
    </xf>
    <xf numFmtId="3" fontId="61" fillId="8" borderId="1" xfId="0" applyNumberFormat="1" applyFont="1" applyFill="1" applyBorder="1" applyAlignment="1">
      <alignment horizontal="right" vertical="center" wrapText="1"/>
    </xf>
    <xf numFmtId="0" fontId="75" fillId="14" borderId="38" xfId="0" applyFont="1" applyFill="1" applyBorder="1" applyAlignment="1">
      <alignment horizontal="center"/>
    </xf>
    <xf numFmtId="0" fontId="75" fillId="14" borderId="39" xfId="0" applyFont="1" applyFill="1" applyBorder="1" applyAlignment="1">
      <alignment horizontal="center"/>
    </xf>
    <xf numFmtId="0" fontId="75" fillId="17" borderId="39" xfId="0" applyFont="1" applyFill="1" applyBorder="1" applyAlignment="1">
      <alignment horizontal="center"/>
    </xf>
    <xf numFmtId="0" fontId="75" fillId="16" borderId="37" xfId="0" applyFont="1" applyFill="1" applyBorder="1" applyAlignment="1">
      <alignment horizontal="center"/>
    </xf>
    <xf numFmtId="0" fontId="55" fillId="8" borderId="15" xfId="0" applyFont="1" applyFill="1" applyBorder="1"/>
    <xf numFmtId="0" fontId="60" fillId="21" borderId="24" xfId="0" applyFont="1" applyFill="1" applyBorder="1" applyAlignment="1">
      <alignment vertical="center" wrapText="1"/>
    </xf>
    <xf numFmtId="0" fontId="88" fillId="21" borderId="26" xfId="0" applyFont="1" applyFill="1" applyBorder="1" applyAlignment="1">
      <alignment horizontal="center" vertical="center" wrapText="1"/>
    </xf>
    <xf numFmtId="0" fontId="61" fillId="0" borderId="36" xfId="0" applyFont="1" applyBorder="1" applyAlignment="1">
      <alignment vertical="center" wrapText="1"/>
    </xf>
    <xf numFmtId="3" fontId="61" fillId="0" borderId="35" xfId="0" applyNumberFormat="1" applyFont="1" applyBorder="1" applyAlignment="1">
      <alignment horizontal="right" vertical="center" wrapText="1"/>
    </xf>
    <xf numFmtId="0" fontId="54" fillId="21" borderId="1" xfId="0" applyFont="1" applyFill="1" applyBorder="1" applyAlignment="1">
      <alignment vertical="center" wrapText="1"/>
    </xf>
    <xf numFmtId="0" fontId="57" fillId="21" borderId="1" xfId="0" applyFont="1" applyFill="1" applyBorder="1" applyAlignment="1">
      <alignment horizontal="center" vertical="center" wrapText="1"/>
    </xf>
    <xf numFmtId="0" fontId="57" fillId="8" borderId="0" xfId="0" applyFont="1" applyFill="1" applyAlignment="1">
      <alignment horizontal="center" vertical="center" wrapText="1"/>
    </xf>
    <xf numFmtId="0" fontId="58" fillId="0" borderId="1" xfId="0" applyFont="1" applyBorder="1" applyAlignment="1">
      <alignment vertical="center" wrapText="1"/>
    </xf>
    <xf numFmtId="3" fontId="58" fillId="0" borderId="1" xfId="0" applyNumberFormat="1" applyFont="1" applyBorder="1" applyAlignment="1">
      <alignment horizontal="right" vertical="center" wrapText="1"/>
    </xf>
    <xf numFmtId="3" fontId="57" fillId="8" borderId="0" xfId="0" applyNumberFormat="1" applyFont="1" applyFill="1" applyAlignment="1">
      <alignment horizontal="right" vertical="center" wrapText="1"/>
    </xf>
    <xf numFmtId="3" fontId="58" fillId="8" borderId="0" xfId="0" applyNumberFormat="1" applyFont="1" applyFill="1" applyAlignment="1">
      <alignment horizontal="right" vertical="center" wrapText="1"/>
    </xf>
    <xf numFmtId="3" fontId="69" fillId="8" borderId="24" xfId="0" applyNumberFormat="1" applyFont="1" applyFill="1" applyBorder="1"/>
    <xf numFmtId="0" fontId="89" fillId="8" borderId="13" xfId="0" applyFont="1" applyFill="1" applyBorder="1" applyAlignment="1">
      <alignment vertical="center"/>
    </xf>
    <xf numFmtId="0" fontId="89" fillId="8" borderId="1" xfId="0" applyFont="1" applyFill="1" applyBorder="1" applyAlignment="1">
      <alignment horizontal="center" vertical="center" wrapText="1"/>
    </xf>
    <xf numFmtId="0" fontId="89" fillId="8" borderId="1" xfId="0" applyFont="1" applyFill="1" applyBorder="1" applyAlignment="1">
      <alignment horizontal="center" vertical="center"/>
    </xf>
    <xf numFmtId="0" fontId="85" fillId="19" borderId="1" xfId="0" applyFont="1" applyFill="1" applyBorder="1" applyAlignment="1">
      <alignment horizontal="center" vertical="center"/>
    </xf>
    <xf numFmtId="3" fontId="85" fillId="19" borderId="1" xfId="0" applyNumberFormat="1" applyFont="1" applyFill="1" applyBorder="1" applyAlignment="1">
      <alignment horizontal="right" vertical="center" wrapText="1"/>
    </xf>
    <xf numFmtId="3" fontId="89" fillId="8" borderId="1" xfId="0" applyNumberFormat="1" applyFont="1" applyFill="1" applyBorder="1" applyAlignment="1">
      <alignment horizontal="right" vertical="center"/>
    </xf>
    <xf numFmtId="0" fontId="57" fillId="8" borderId="0" xfId="0" applyFont="1" applyFill="1" applyAlignment="1">
      <alignment vertical="center" wrapText="1"/>
    </xf>
    <xf numFmtId="0" fontId="76" fillId="8" borderId="0" xfId="0" applyFont="1" applyFill="1" applyAlignment="1">
      <alignment vertical="center" wrapText="1"/>
    </xf>
    <xf numFmtId="0" fontId="58" fillId="8" borderId="0" xfId="0" applyFont="1" applyFill="1" applyAlignment="1">
      <alignment horizontal="right" vertical="center" wrapText="1"/>
    </xf>
    <xf numFmtId="0" fontId="76" fillId="8" borderId="0" xfId="0" applyFont="1" applyFill="1" applyAlignment="1">
      <alignment horizontal="right" vertical="center" wrapText="1"/>
    </xf>
    <xf numFmtId="0" fontId="55" fillId="8" borderId="0" xfId="0" applyFont="1" applyFill="1" applyAlignment="1">
      <alignment vertical="center" wrapText="1"/>
    </xf>
    <xf numFmtId="3" fontId="55" fillId="8" borderId="0" xfId="0" applyNumberFormat="1" applyFont="1" applyFill="1" applyAlignment="1">
      <alignment horizontal="right" vertical="center" wrapText="1"/>
    </xf>
    <xf numFmtId="0" fontId="84" fillId="8" borderId="29" xfId="0" applyFont="1" applyFill="1" applyBorder="1"/>
    <xf numFmtId="0" fontId="84" fillId="8" borderId="24" xfId="0" applyFont="1" applyFill="1" applyBorder="1" applyAlignment="1">
      <alignment horizontal="center"/>
    </xf>
    <xf numFmtId="3" fontId="69" fillId="8" borderId="28" xfId="0" applyNumberFormat="1" applyFont="1" applyFill="1" applyBorder="1"/>
    <xf numFmtId="0" fontId="84" fillId="8" borderId="34" xfId="0" applyFont="1" applyFill="1" applyBorder="1"/>
    <xf numFmtId="3" fontId="84" fillId="8" borderId="24" xfId="0" applyNumberFormat="1" applyFont="1" applyFill="1" applyBorder="1"/>
    <xf numFmtId="0" fontId="54" fillId="21" borderId="1" xfId="0" applyFont="1" applyFill="1" applyBorder="1" applyAlignment="1">
      <alignment horizontal="center" vertical="center" wrapText="1"/>
    </xf>
    <xf numFmtId="3" fontId="57" fillId="21" borderId="1" xfId="0" applyNumberFormat="1" applyFont="1" applyFill="1" applyBorder="1" applyAlignment="1">
      <alignment horizontal="right" vertical="center" wrapText="1"/>
    </xf>
    <xf numFmtId="0" fontId="57" fillId="21" borderId="13" xfId="0" applyFont="1" applyFill="1" applyBorder="1" applyAlignment="1">
      <alignment horizontal="center" vertical="center"/>
    </xf>
    <xf numFmtId="0" fontId="57" fillId="21" borderId="15" xfId="0" applyFont="1" applyFill="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vertical="center"/>
    </xf>
    <xf numFmtId="3" fontId="58" fillId="0" borderId="1" xfId="0" applyNumberFormat="1" applyFont="1" applyBorder="1" applyAlignment="1">
      <alignment horizontal="right" vertical="center"/>
    </xf>
    <xf numFmtId="9" fontId="57" fillId="0" borderId="15" xfId="0" applyNumberFormat="1" applyFont="1" applyBorder="1" applyAlignment="1">
      <alignment horizontal="center" vertical="center"/>
    </xf>
    <xf numFmtId="9" fontId="57" fillId="0" borderId="1" xfId="0" applyNumberFormat="1" applyFont="1" applyBorder="1" applyAlignment="1">
      <alignment horizontal="center" vertical="center"/>
    </xf>
    <xf numFmtId="0" fontId="55" fillId="0" borderId="1" xfId="0" applyFont="1" applyBorder="1" applyAlignment="1">
      <alignment horizontal="center"/>
    </xf>
    <xf numFmtId="0" fontId="57" fillId="21" borderId="1" xfId="0" applyFont="1" applyFill="1" applyBorder="1" applyAlignment="1">
      <alignment horizontal="center" vertical="center"/>
    </xf>
    <xf numFmtId="3" fontId="57" fillId="21" borderId="1" xfId="0" applyNumberFormat="1" applyFont="1" applyFill="1" applyBorder="1" applyAlignment="1">
      <alignment horizontal="right" vertical="center"/>
    </xf>
    <xf numFmtId="0" fontId="58" fillId="21" borderId="1" xfId="0" applyFont="1" applyFill="1" applyBorder="1" applyAlignment="1">
      <alignment vertical="center"/>
    </xf>
    <xf numFmtId="0" fontId="54" fillId="20" borderId="24" xfId="0" applyFont="1" applyFill="1" applyBorder="1" applyAlignment="1">
      <alignment horizontal="center" vertical="center" wrapText="1"/>
    </xf>
    <xf numFmtId="0" fontId="57" fillId="20" borderId="26" xfId="0" applyFont="1" applyFill="1" applyBorder="1" applyAlignment="1">
      <alignment horizontal="center" vertical="center" wrapText="1"/>
    </xf>
    <xf numFmtId="0" fontId="58" fillId="0" borderId="36" xfId="0" applyFont="1" applyBorder="1" applyAlignment="1">
      <alignment horizontal="justify" vertical="center" wrapText="1"/>
    </xf>
    <xf numFmtId="10" fontId="58" fillId="0" borderId="35" xfId="0" applyNumberFormat="1" applyFont="1" applyBorder="1" applyAlignment="1">
      <alignment horizontal="center" vertical="center" wrapText="1"/>
    </xf>
    <xf numFmtId="0" fontId="75" fillId="14" borderId="1" xfId="0" applyFont="1" applyFill="1" applyBorder="1" applyAlignment="1">
      <alignment horizontal="center"/>
    </xf>
    <xf numFmtId="0" fontId="88" fillId="21" borderId="1" xfId="0" applyFont="1" applyFill="1" applyBorder="1" applyAlignment="1">
      <alignment horizontal="center" vertical="center" wrapText="1"/>
    </xf>
    <xf numFmtId="0" fontId="60" fillId="21" borderId="1" xfId="0" applyFont="1" applyFill="1" applyBorder="1" applyAlignment="1">
      <alignment horizontal="center" vertical="center" wrapText="1"/>
    </xf>
    <xf numFmtId="0" fontId="93" fillId="0" borderId="1" xfId="0" applyFont="1" applyBorder="1" applyAlignment="1">
      <alignment vertical="center" wrapText="1"/>
    </xf>
    <xf numFmtId="0" fontId="94" fillId="0" borderId="1" xfId="0" applyFont="1" applyBorder="1" applyAlignment="1">
      <alignment horizontal="center" vertical="center" wrapText="1"/>
    </xf>
    <xf numFmtId="3" fontId="59" fillId="0" borderId="1" xfId="0" applyNumberFormat="1" applyFont="1" applyBorder="1" applyAlignment="1">
      <alignment horizontal="right" vertical="center" wrapText="1"/>
    </xf>
    <xf numFmtId="0" fontId="92" fillId="0" borderId="1" xfId="0" applyFont="1" applyBorder="1" applyAlignment="1">
      <alignment vertical="center" wrapText="1"/>
    </xf>
    <xf numFmtId="0" fontId="60" fillId="0" borderId="1" xfId="0" applyFont="1" applyBorder="1" applyAlignment="1">
      <alignment horizontal="right" vertical="center" wrapText="1"/>
    </xf>
    <xf numFmtId="0" fontId="59" fillId="0" borderId="1" xfId="0" applyFont="1" applyBorder="1" applyAlignment="1">
      <alignment horizontal="right" vertical="center" wrapText="1"/>
    </xf>
    <xf numFmtId="0" fontId="95" fillId="8" borderId="0" xfId="0" applyFont="1" applyFill="1" applyAlignment="1">
      <alignment vertical="center"/>
    </xf>
    <xf numFmtId="0" fontId="88" fillId="8" borderId="13" xfId="0" applyFont="1" applyFill="1" applyBorder="1" applyAlignment="1">
      <alignment horizontal="center" vertical="center" wrapText="1"/>
    </xf>
    <xf numFmtId="0" fontId="88" fillId="8" borderId="15" xfId="0" applyFont="1" applyFill="1" applyBorder="1" applyAlignment="1">
      <alignment horizontal="center" vertical="center" wrapText="1"/>
    </xf>
    <xf numFmtId="0" fontId="61" fillId="8" borderId="18" xfId="0" applyFont="1" applyFill="1" applyBorder="1" applyAlignment="1">
      <alignment vertical="center" wrapText="1"/>
    </xf>
    <xf numFmtId="3" fontId="59" fillId="8" borderId="18" xfId="0" applyNumberFormat="1" applyFont="1" applyFill="1" applyBorder="1" applyAlignment="1">
      <alignment horizontal="right" vertical="center" wrapText="1"/>
    </xf>
    <xf numFmtId="0" fontId="0" fillId="8" borderId="18" xfId="0" applyFill="1" applyBorder="1" applyAlignment="1">
      <alignment vertical="top" wrapText="1"/>
    </xf>
    <xf numFmtId="0" fontId="59" fillId="8" borderId="18" xfId="0" applyFont="1" applyFill="1" applyBorder="1" applyAlignment="1">
      <alignment horizontal="center" vertical="center" wrapText="1"/>
    </xf>
    <xf numFmtId="0" fontId="88" fillId="8" borderId="0" xfId="0" applyFont="1" applyFill="1" applyAlignment="1">
      <alignment vertical="center" wrapText="1"/>
    </xf>
    <xf numFmtId="0" fontId="59" fillId="8" borderId="0" xfId="0" applyFont="1" applyFill="1" applyAlignment="1">
      <alignment horizontal="right" vertical="center" wrapText="1"/>
    </xf>
    <xf numFmtId="0" fontId="59" fillId="8" borderId="0" xfId="0" applyFont="1" applyFill="1" applyAlignment="1">
      <alignment vertical="center" wrapText="1"/>
    </xf>
    <xf numFmtId="0" fontId="59" fillId="8" borderId="0" xfId="0" applyFont="1" applyFill="1" applyAlignment="1">
      <alignment horizontal="center" vertical="center" wrapText="1"/>
    </xf>
    <xf numFmtId="0" fontId="59" fillId="8" borderId="18" xfId="0" applyFont="1" applyFill="1" applyBorder="1" applyAlignment="1">
      <alignment vertical="center" wrapText="1"/>
    </xf>
    <xf numFmtId="3" fontId="59" fillId="8" borderId="18" xfId="0" applyNumberFormat="1" applyFont="1" applyFill="1" applyBorder="1" applyAlignment="1">
      <alignment vertical="center" wrapText="1"/>
    </xf>
    <xf numFmtId="0" fontId="96" fillId="8" borderId="0" xfId="0" applyFont="1" applyFill="1"/>
    <xf numFmtId="0" fontId="97" fillId="8" borderId="0" xfId="0" applyFont="1" applyFill="1" applyAlignment="1">
      <alignment horizontal="center"/>
    </xf>
    <xf numFmtId="0" fontId="96" fillId="8" borderId="21" xfId="0" applyFont="1" applyFill="1" applyBorder="1" applyAlignment="1">
      <alignment horizontal="center"/>
    </xf>
    <xf numFmtId="0" fontId="96" fillId="8" borderId="25" xfId="0" applyFont="1" applyFill="1" applyBorder="1" applyAlignment="1">
      <alignment horizontal="center"/>
    </xf>
    <xf numFmtId="0" fontId="96" fillId="8" borderId="26" xfId="0" applyFont="1" applyFill="1" applyBorder="1" applyAlignment="1">
      <alignment horizontal="center"/>
    </xf>
    <xf numFmtId="0" fontId="96" fillId="8" borderId="24" xfId="0" applyFont="1" applyFill="1" applyBorder="1" applyAlignment="1">
      <alignment horizontal="center"/>
    </xf>
    <xf numFmtId="41" fontId="96" fillId="8" borderId="1" xfId="9" applyFont="1" applyFill="1" applyBorder="1"/>
    <xf numFmtId="41" fontId="96" fillId="8" borderId="0" xfId="9" applyFont="1" applyFill="1" applyBorder="1"/>
    <xf numFmtId="0" fontId="96" fillId="8" borderId="32" xfId="0" applyFont="1" applyFill="1" applyBorder="1" applyAlignment="1">
      <alignment horizontal="center"/>
    </xf>
    <xf numFmtId="0" fontId="96" fillId="8" borderId="0" xfId="0" applyFont="1" applyFill="1" applyAlignment="1">
      <alignment horizontal="center"/>
    </xf>
    <xf numFmtId="0" fontId="96" fillId="8" borderId="33" xfId="0" applyFont="1" applyFill="1" applyBorder="1" applyAlignment="1">
      <alignment horizontal="center"/>
    </xf>
    <xf numFmtId="0" fontId="96" fillId="8" borderId="28" xfId="0" applyFont="1" applyFill="1" applyBorder="1" applyAlignment="1">
      <alignment horizontal="center"/>
    </xf>
    <xf numFmtId="0" fontId="96" fillId="8" borderId="34" xfId="0" applyFont="1" applyFill="1" applyBorder="1" applyAlignment="1">
      <alignment horizontal="center"/>
    </xf>
    <xf numFmtId="0" fontId="96" fillId="8" borderId="18" xfId="0" applyFont="1" applyFill="1" applyBorder="1" applyAlignment="1">
      <alignment horizontal="center"/>
    </xf>
    <xf numFmtId="0" fontId="96" fillId="8" borderId="35" xfId="0" applyFont="1" applyFill="1" applyBorder="1" applyAlignment="1">
      <alignment horizontal="center"/>
    </xf>
    <xf numFmtId="0" fontId="96" fillId="8" borderId="36" xfId="0" applyFont="1" applyFill="1" applyBorder="1" applyAlignment="1">
      <alignment horizontal="center"/>
    </xf>
    <xf numFmtId="41" fontId="97" fillId="8" borderId="1" xfId="0" applyNumberFormat="1" applyFont="1" applyFill="1" applyBorder="1"/>
    <xf numFmtId="41" fontId="97" fillId="8" borderId="0" xfId="0" applyNumberFormat="1" applyFont="1" applyFill="1"/>
    <xf numFmtId="0" fontId="98" fillId="8" borderId="0" xfId="0" applyFont="1" applyFill="1"/>
    <xf numFmtId="0" fontId="98" fillId="8" borderId="29" xfId="0" applyFont="1" applyFill="1" applyBorder="1" applyAlignment="1">
      <alignment horizontal="center"/>
    </xf>
    <xf numFmtId="0" fontId="98" fillId="8" borderId="30" xfId="0" applyFont="1" applyFill="1" applyBorder="1" applyAlignment="1">
      <alignment horizontal="center"/>
    </xf>
    <xf numFmtId="0" fontId="98" fillId="8" borderId="31" xfId="0" applyFont="1" applyFill="1" applyBorder="1" applyAlignment="1">
      <alignment horizontal="center"/>
    </xf>
    <xf numFmtId="0" fontId="98" fillId="8" borderId="0" xfId="0" applyFont="1" applyFill="1" applyAlignment="1">
      <alignment horizontal="center"/>
    </xf>
    <xf numFmtId="0" fontId="98" fillId="8" borderId="8" xfId="0" applyFont="1" applyFill="1" applyBorder="1"/>
    <xf numFmtId="3" fontId="98" fillId="8" borderId="0" xfId="0" applyNumberFormat="1" applyFont="1" applyFill="1"/>
    <xf numFmtId="9" fontId="98" fillId="8" borderId="0" xfId="0" applyNumberFormat="1" applyFont="1" applyFill="1"/>
    <xf numFmtId="41" fontId="98" fillId="8" borderId="0" xfId="9" applyFont="1" applyFill="1"/>
    <xf numFmtId="41" fontId="98" fillId="8" borderId="0" xfId="0" applyNumberFormat="1" applyFont="1" applyFill="1"/>
    <xf numFmtId="0" fontId="2" fillId="8" borderId="34" xfId="0" applyFont="1" applyFill="1" applyBorder="1"/>
    <xf numFmtId="0" fontId="2" fillId="0" borderId="18" xfId="0" applyFont="1" applyBorder="1"/>
    <xf numFmtId="41" fontId="2" fillId="8" borderId="36" xfId="0" applyNumberFormat="1" applyFont="1" applyFill="1" applyBorder="1"/>
    <xf numFmtId="0" fontId="0" fillId="0" borderId="28" xfId="0" applyBorder="1"/>
    <xf numFmtId="0" fontId="0" fillId="0" borderId="36" xfId="0" applyBorder="1"/>
    <xf numFmtId="41" fontId="0" fillId="0" borderId="24" xfId="0" applyNumberFormat="1" applyBorder="1"/>
    <xf numFmtId="0" fontId="2" fillId="8" borderId="28" xfId="0" applyFont="1" applyFill="1" applyBorder="1"/>
    <xf numFmtId="0" fontId="1" fillId="6" borderId="8" xfId="0" applyFont="1" applyFill="1" applyBorder="1" applyAlignment="1">
      <alignment horizontal="center"/>
    </xf>
    <xf numFmtId="0" fontId="1" fillId="6" borderId="11" xfId="0" applyFont="1" applyFill="1" applyBorder="1"/>
    <xf numFmtId="0" fontId="1" fillId="6" borderId="10" xfId="0" applyFont="1" applyFill="1" applyBorder="1"/>
    <xf numFmtId="0" fontId="1" fillId="6" borderId="10" xfId="0" applyFont="1" applyFill="1" applyBorder="1" applyAlignment="1">
      <alignment horizontal="center"/>
    </xf>
    <xf numFmtId="0" fontId="7" fillId="6" borderId="10" xfId="0" applyFont="1" applyFill="1" applyBorder="1"/>
    <xf numFmtId="0" fontId="8" fillId="8" borderId="54" xfId="0" applyFont="1" applyFill="1" applyBorder="1" applyAlignment="1">
      <alignment horizontal="center"/>
    </xf>
    <xf numFmtId="14" fontId="7" fillId="0" borderId="28" xfId="0" applyNumberFormat="1" applyFont="1" applyBorder="1" applyProtection="1">
      <protection locked="0"/>
    </xf>
    <xf numFmtId="0" fontId="7" fillId="6" borderId="53" xfId="0" applyFont="1" applyFill="1" applyBorder="1"/>
    <xf numFmtId="165" fontId="7" fillId="0" borderId="28" xfId="0" applyNumberFormat="1" applyFont="1" applyBorder="1" applyProtection="1">
      <protection locked="0"/>
    </xf>
    <xf numFmtId="0" fontId="8" fillId="6" borderId="53" xfId="0" applyFont="1" applyFill="1" applyBorder="1"/>
    <xf numFmtId="0" fontId="1" fillId="6" borderId="7" xfId="0" applyFont="1" applyFill="1" applyBorder="1" applyAlignment="1">
      <alignment horizontal="center"/>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0" xfId="0" applyFont="1" applyFill="1" applyAlignment="1">
      <alignment horizontal="center" vertical="center" wrapText="1"/>
    </xf>
    <xf numFmtId="14" fontId="1" fillId="6" borderId="6" xfId="0" applyNumberFormat="1" applyFont="1" applyFill="1" applyBorder="1" applyAlignment="1">
      <alignment horizontal="center" vertical="center" wrapText="1"/>
    </xf>
    <xf numFmtId="0" fontId="1" fillId="6" borderId="9" xfId="0" applyFont="1" applyFill="1" applyBorder="1" applyAlignment="1">
      <alignment horizontal="center"/>
    </xf>
    <xf numFmtId="165" fontId="1" fillId="6" borderId="12" xfId="0" applyNumberFormat="1" applyFont="1" applyFill="1" applyBorder="1"/>
    <xf numFmtId="165" fontId="1" fillId="6" borderId="8" xfId="0" applyNumberFormat="1" applyFont="1" applyFill="1" applyBorder="1" applyAlignment="1">
      <alignment horizontal="center"/>
    </xf>
    <xf numFmtId="165" fontId="2" fillId="0" borderId="5" xfId="0" applyNumberFormat="1" applyFont="1" applyBorder="1" applyAlignment="1" applyProtection="1">
      <alignment horizontal="right"/>
      <protection locked="0"/>
    </xf>
    <xf numFmtId="0" fontId="38" fillId="6" borderId="14" xfId="0" applyFont="1" applyFill="1" applyBorder="1"/>
    <xf numFmtId="41" fontId="55" fillId="8" borderId="28" xfId="0" applyNumberFormat="1" applyFont="1" applyFill="1" applyBorder="1"/>
    <xf numFmtId="0" fontId="55" fillId="6" borderId="21" xfId="0" applyFont="1" applyFill="1" applyBorder="1"/>
    <xf numFmtId="0" fontId="55" fillId="6" borderId="25" xfId="0" applyFont="1" applyFill="1" applyBorder="1"/>
    <xf numFmtId="0" fontId="55" fillId="6" borderId="26" xfId="0" applyFont="1" applyFill="1" applyBorder="1"/>
    <xf numFmtId="41" fontId="58" fillId="19" borderId="1" xfId="9" applyFont="1" applyFill="1" applyBorder="1" applyAlignment="1">
      <alignment horizontal="center" vertical="center"/>
    </xf>
    <xf numFmtId="41" fontId="76" fillId="8" borderId="36" xfId="0" applyNumberFormat="1" applyFont="1" applyFill="1" applyBorder="1" applyAlignment="1">
      <alignment horizontal="center"/>
    </xf>
    <xf numFmtId="41" fontId="56" fillId="8" borderId="36" xfId="9" applyFont="1" applyFill="1" applyBorder="1" applyAlignment="1">
      <alignment horizontal="center"/>
    </xf>
    <xf numFmtId="0" fontId="69" fillId="8" borderId="32" xfId="0" applyFont="1" applyFill="1" applyBorder="1" applyAlignment="1">
      <alignment horizontal="left"/>
    </xf>
    <xf numFmtId="0" fontId="69" fillId="8" borderId="30" xfId="0" applyFont="1" applyFill="1" applyBorder="1" applyAlignment="1">
      <alignment horizontal="center"/>
    </xf>
    <xf numFmtId="41" fontId="69" fillId="8" borderId="31" xfId="9" applyFont="1" applyFill="1" applyBorder="1" applyAlignment="1">
      <alignment horizontal="center"/>
    </xf>
    <xf numFmtId="3" fontId="57" fillId="6" borderId="1" xfId="0" applyNumberFormat="1" applyFont="1" applyFill="1" applyBorder="1" applyAlignment="1">
      <alignment horizontal="right" vertical="center" wrapText="1"/>
    </xf>
    <xf numFmtId="0" fontId="63" fillId="8" borderId="0" xfId="0" applyFont="1" applyFill="1" applyAlignment="1">
      <alignment horizontal="center" vertical="center" wrapText="1"/>
    </xf>
    <xf numFmtId="0" fontId="64" fillId="8" borderId="0" xfId="0" applyFont="1" applyFill="1" applyAlignment="1">
      <alignment horizontal="center"/>
    </xf>
    <xf numFmtId="0" fontId="65" fillId="14" borderId="27" xfId="0" applyFont="1" applyFill="1" applyBorder="1" applyAlignment="1">
      <alignment horizontal="center" vertical="center" wrapText="1"/>
    </xf>
    <xf numFmtId="0" fontId="65" fillId="14" borderId="36" xfId="0" applyFont="1" applyFill="1" applyBorder="1" applyAlignment="1">
      <alignment horizontal="center"/>
    </xf>
    <xf numFmtId="0" fontId="64" fillId="8" borderId="28" xfId="0" applyFont="1" applyFill="1" applyBorder="1" applyAlignment="1">
      <alignment horizontal="center"/>
    </xf>
    <xf numFmtId="0" fontId="62" fillId="8" borderId="28" xfId="0" applyFont="1" applyFill="1" applyBorder="1" applyAlignment="1">
      <alignment horizontal="center" vertical="center" wrapText="1"/>
    </xf>
    <xf numFmtId="0" fontId="67" fillId="8" borderId="28" xfId="0" applyFont="1" applyFill="1" applyBorder="1" applyAlignment="1">
      <alignment horizontal="center" vertical="center" wrapText="1"/>
    </xf>
    <xf numFmtId="0" fontId="64" fillId="8" borderId="36" xfId="0" applyFont="1" applyFill="1" applyBorder="1" applyAlignment="1">
      <alignment horizontal="center"/>
    </xf>
    <xf numFmtId="0" fontId="64" fillId="8" borderId="0" xfId="0" applyFont="1" applyFill="1" applyAlignment="1">
      <alignment horizontal="center" vertical="center" wrapText="1"/>
    </xf>
    <xf numFmtId="0" fontId="69" fillId="8" borderId="1" xfId="0" applyFont="1" applyFill="1" applyBorder="1" applyAlignment="1">
      <alignment horizontal="right"/>
    </xf>
    <xf numFmtId="171" fontId="69" fillId="8" borderId="0" xfId="9" applyNumberFormat="1" applyFont="1" applyFill="1"/>
    <xf numFmtId="43" fontId="69" fillId="8" borderId="0" xfId="0" applyNumberFormat="1" applyFont="1" applyFill="1"/>
    <xf numFmtId="171" fontId="71" fillId="8" borderId="0" xfId="0" applyNumberFormat="1" applyFont="1" applyFill="1"/>
    <xf numFmtId="171" fontId="82" fillId="8" borderId="0" xfId="9" applyNumberFormat="1" applyFont="1" applyFill="1" applyBorder="1"/>
    <xf numFmtId="171" fontId="69" fillId="8" borderId="0" xfId="9" applyNumberFormat="1" applyFont="1" applyFill="1" applyBorder="1"/>
    <xf numFmtId="0" fontId="71" fillId="8" borderId="0" xfId="0" applyFont="1" applyFill="1" applyAlignment="1">
      <alignment horizontal="center"/>
    </xf>
    <xf numFmtId="41" fontId="82" fillId="8" borderId="0" xfId="9" applyFont="1" applyFill="1" applyBorder="1"/>
    <xf numFmtId="41" fontId="69" fillId="8" borderId="0" xfId="9" applyFont="1" applyFill="1" applyAlignment="1">
      <alignment horizontal="center"/>
    </xf>
    <xf numFmtId="41" fontId="69" fillId="8" borderId="28" xfId="0" applyNumberFormat="1" applyFont="1" applyFill="1" applyBorder="1"/>
    <xf numFmtId="41" fontId="69" fillId="8" borderId="0" xfId="0" applyNumberFormat="1" applyFont="1" applyFill="1"/>
    <xf numFmtId="3" fontId="85" fillId="8" borderId="10" xfId="0" applyNumberFormat="1" applyFont="1" applyFill="1" applyBorder="1" applyAlignment="1">
      <alignment horizontal="right" vertical="center" wrapText="1"/>
    </xf>
    <xf numFmtId="0" fontId="84" fillId="8" borderId="13" xfId="0" applyFont="1" applyFill="1" applyBorder="1" applyAlignment="1">
      <alignment horizontal="center" vertical="center" wrapText="1"/>
    </xf>
    <xf numFmtId="0" fontId="72" fillId="14" borderId="13" xfId="0" applyFont="1" applyFill="1" applyBorder="1" applyAlignment="1">
      <alignment horizontal="center" vertical="center" wrapText="1"/>
    </xf>
    <xf numFmtId="3" fontId="69" fillId="8" borderId="15" xfId="0" applyNumberFormat="1" applyFont="1" applyFill="1" applyBorder="1"/>
    <xf numFmtId="3" fontId="72" fillId="14" borderId="15" xfId="0" applyNumberFormat="1" applyFont="1" applyFill="1" applyBorder="1"/>
    <xf numFmtId="3" fontId="85" fillId="8" borderId="0" xfId="0" applyNumberFormat="1" applyFont="1" applyFill="1" applyAlignment="1">
      <alignment horizontal="right" vertical="center" wrapText="1"/>
    </xf>
    <xf numFmtId="41" fontId="69" fillId="8" borderId="28" xfId="9" applyFont="1" applyFill="1" applyBorder="1" applyAlignment="1">
      <alignment horizontal="center"/>
    </xf>
    <xf numFmtId="41" fontId="70" fillId="8" borderId="28" xfId="9" applyFont="1" applyFill="1" applyBorder="1" applyAlignment="1">
      <alignment horizontal="center"/>
    </xf>
    <xf numFmtId="0" fontId="73" fillId="8" borderId="21" xfId="0" applyFont="1" applyFill="1" applyBorder="1" applyAlignment="1">
      <alignment horizontal="left"/>
    </xf>
    <xf numFmtId="0" fontId="72" fillId="8" borderId="25" xfId="0" applyFont="1" applyFill="1" applyBorder="1" applyAlignment="1">
      <alignment horizontal="center"/>
    </xf>
    <xf numFmtId="41" fontId="69" fillId="8" borderId="25" xfId="9" applyFont="1" applyFill="1" applyBorder="1" applyAlignment="1">
      <alignment horizontal="center"/>
    </xf>
    <xf numFmtId="41" fontId="73" fillId="8" borderId="0" xfId="9" applyFont="1" applyFill="1" applyBorder="1"/>
    <xf numFmtId="9" fontId="69" fillId="8" borderId="0" xfId="0" applyNumberFormat="1" applyFont="1" applyFill="1" applyAlignment="1">
      <alignment horizontal="left"/>
    </xf>
    <xf numFmtId="0" fontId="69" fillId="7" borderId="1" xfId="0" applyFont="1" applyFill="1" applyBorder="1" applyAlignment="1">
      <alignment horizontal="center"/>
    </xf>
    <xf numFmtId="0" fontId="69" fillId="7" borderId="1" xfId="0" applyFont="1" applyFill="1" applyBorder="1"/>
    <xf numFmtId="41" fontId="69" fillId="8" borderId="1" xfId="9" applyFont="1" applyFill="1" applyBorder="1"/>
    <xf numFmtId="41" fontId="69" fillId="8" borderId="4" xfId="0" applyNumberFormat="1" applyFont="1" applyFill="1" applyBorder="1"/>
    <xf numFmtId="41" fontId="69" fillId="8" borderId="6" xfId="0" applyNumberFormat="1" applyFont="1" applyFill="1" applyBorder="1"/>
    <xf numFmtId="41" fontId="84" fillId="8" borderId="6" xfId="0" applyNumberFormat="1" applyFont="1" applyFill="1" applyBorder="1"/>
    <xf numFmtId="3" fontId="69" fillId="8" borderId="32" xfId="0" applyNumberFormat="1" applyFont="1" applyFill="1" applyBorder="1"/>
    <xf numFmtId="41" fontId="69" fillId="8" borderId="8" xfId="0" applyNumberFormat="1" applyFont="1" applyFill="1" applyBorder="1"/>
    <xf numFmtId="41" fontId="84" fillId="8" borderId="4" xfId="0" applyNumberFormat="1" applyFont="1" applyFill="1" applyBorder="1"/>
    <xf numFmtId="0" fontId="81" fillId="8" borderId="38" xfId="0" applyFont="1" applyFill="1" applyBorder="1" applyAlignment="1">
      <alignment horizontal="center"/>
    </xf>
    <xf numFmtId="41" fontId="81" fillId="8" borderId="26" xfId="0" applyNumberFormat="1" applyFont="1" applyFill="1" applyBorder="1"/>
    <xf numFmtId="14" fontId="58" fillId="6" borderId="1" xfId="0" applyNumberFormat="1" applyFont="1" applyFill="1" applyBorder="1" applyAlignment="1">
      <alignment horizontal="center" vertical="center" wrapText="1"/>
    </xf>
    <xf numFmtId="3" fontId="58" fillId="6" borderId="1" xfId="0" applyNumberFormat="1" applyFont="1" applyFill="1" applyBorder="1" applyAlignment="1">
      <alignment horizontal="right" vertical="center" wrapText="1"/>
    </xf>
    <xf numFmtId="0" fontId="57" fillId="19" borderId="1" xfId="0" applyFont="1" applyFill="1" applyBorder="1" applyAlignment="1">
      <alignment vertical="center" wrapText="1"/>
    </xf>
    <xf numFmtId="0" fontId="87" fillId="8" borderId="1" xfId="0" applyFont="1" applyFill="1" applyBorder="1" applyAlignment="1">
      <alignment vertical="center" wrapText="1"/>
    </xf>
    <xf numFmtId="41" fontId="71" fillId="15" borderId="24" xfId="9" applyFont="1" applyFill="1" applyBorder="1" applyAlignment="1">
      <alignment horizontal="center"/>
    </xf>
    <xf numFmtId="41" fontId="71" fillId="15" borderId="36" xfId="9" applyFont="1" applyFill="1" applyBorder="1"/>
    <xf numFmtId="41" fontId="75" fillId="17" borderId="15" xfId="9" applyFont="1" applyFill="1" applyBorder="1"/>
    <xf numFmtId="41" fontId="75" fillId="17" borderId="1" xfId="9" applyFont="1" applyFill="1" applyBorder="1"/>
    <xf numFmtId="0" fontId="54" fillId="6" borderId="0" xfId="0" applyFont="1" applyFill="1" applyAlignment="1">
      <alignment horizontal="center"/>
    </xf>
    <xf numFmtId="0" fontId="61" fillId="6" borderId="36" xfId="0" applyFont="1" applyFill="1" applyBorder="1" applyAlignment="1">
      <alignment vertical="center" wrapText="1"/>
    </xf>
    <xf numFmtId="3" fontId="61" fillId="6" borderId="35" xfId="0" applyNumberFormat="1" applyFont="1" applyFill="1" applyBorder="1" applyAlignment="1">
      <alignment horizontal="right" vertical="center" wrapText="1"/>
    </xf>
    <xf numFmtId="2" fontId="85" fillId="19" borderId="1" xfId="0" applyNumberFormat="1" applyFont="1" applyFill="1" applyBorder="1" applyAlignment="1">
      <alignment horizontal="center" vertical="center"/>
    </xf>
    <xf numFmtId="0" fontId="99" fillId="8" borderId="32" xfId="0" applyFont="1" applyFill="1" applyBorder="1" applyAlignment="1">
      <alignment vertical="center" wrapText="1"/>
    </xf>
    <xf numFmtId="0" fontId="99" fillId="8" borderId="32" xfId="0" applyFont="1" applyFill="1" applyBorder="1" applyAlignment="1">
      <alignment horizontal="center" vertical="center" wrapText="1"/>
    </xf>
    <xf numFmtId="0" fontId="99" fillId="8" borderId="28" xfId="0" applyFont="1" applyFill="1" applyBorder="1" applyAlignment="1">
      <alignment vertical="center" wrapText="1"/>
    </xf>
    <xf numFmtId="0" fontId="55" fillId="8" borderId="32" xfId="0" applyFont="1" applyFill="1" applyBorder="1" applyAlignment="1">
      <alignment vertical="center" wrapText="1"/>
    </xf>
    <xf numFmtId="0" fontId="55" fillId="8" borderId="32" xfId="0" applyFont="1" applyFill="1" applyBorder="1" applyAlignment="1">
      <alignment horizontal="center" vertical="center" wrapText="1"/>
    </xf>
    <xf numFmtId="0" fontId="100" fillId="8" borderId="32" xfId="0" applyFont="1" applyFill="1" applyBorder="1" applyAlignment="1">
      <alignment vertical="center" wrapText="1"/>
    </xf>
    <xf numFmtId="0" fontId="100" fillId="8" borderId="32" xfId="0" applyFont="1" applyFill="1" applyBorder="1" applyAlignment="1">
      <alignment horizontal="center" vertical="center" wrapText="1"/>
    </xf>
    <xf numFmtId="3" fontId="100" fillId="8" borderId="28" xfId="0" applyNumberFormat="1" applyFont="1" applyFill="1" applyBorder="1" applyAlignment="1">
      <alignment vertical="center" wrapText="1"/>
    </xf>
    <xf numFmtId="3" fontId="100" fillId="8" borderId="48" xfId="0" applyNumberFormat="1" applyFont="1" applyFill="1" applyBorder="1" applyAlignment="1">
      <alignment vertical="center" wrapText="1"/>
    </xf>
    <xf numFmtId="3" fontId="99" fillId="8" borderId="46" xfId="0" applyNumberFormat="1" applyFont="1" applyFill="1" applyBorder="1" applyAlignment="1">
      <alignment vertical="center" wrapText="1"/>
    </xf>
    <xf numFmtId="0" fontId="98" fillId="8" borderId="21" xfId="0" applyFont="1" applyFill="1" applyBorder="1"/>
    <xf numFmtId="0" fontId="98" fillId="8" borderId="25" xfId="0" applyFont="1" applyFill="1" applyBorder="1" applyAlignment="1">
      <alignment horizontal="center"/>
    </xf>
    <xf numFmtId="0" fontId="98" fillId="8" borderId="8" xfId="0" applyFont="1" applyFill="1" applyBorder="1" applyAlignment="1">
      <alignment horizontal="center"/>
    </xf>
    <xf numFmtId="172" fontId="98" fillId="8" borderId="0" xfId="0" applyNumberFormat="1" applyFont="1" applyFill="1"/>
    <xf numFmtId="3" fontId="55" fillId="8" borderId="1" xfId="0" applyNumberFormat="1" applyFont="1" applyFill="1" applyBorder="1" applyAlignment="1">
      <alignment horizontal="center"/>
    </xf>
    <xf numFmtId="0" fontId="58" fillId="7" borderId="1" xfId="0" applyFont="1" applyFill="1" applyBorder="1" applyAlignment="1">
      <alignment vertical="center"/>
    </xf>
    <xf numFmtId="0" fontId="55" fillId="7" borderId="1" xfId="0" applyFont="1" applyFill="1" applyBorder="1" applyAlignment="1">
      <alignment horizontal="center"/>
    </xf>
    <xf numFmtId="41" fontId="54" fillId="8" borderId="1" xfId="9" applyFont="1" applyFill="1" applyBorder="1" applyAlignment="1">
      <alignment horizontal="center"/>
    </xf>
    <xf numFmtId="41" fontId="96" fillId="8" borderId="0" xfId="0" applyNumberFormat="1" applyFont="1" applyFill="1"/>
    <xf numFmtId="14" fontId="68" fillId="6" borderId="24" xfId="0" applyNumberFormat="1" applyFont="1" applyFill="1" applyBorder="1" applyAlignment="1">
      <alignment horizontal="center"/>
    </xf>
    <xf numFmtId="0" fontId="54" fillId="7" borderId="0" xfId="0" applyFont="1" applyFill="1"/>
    <xf numFmtId="0" fontId="54" fillId="7" borderId="28" xfId="0" applyFont="1" applyFill="1" applyBorder="1"/>
    <xf numFmtId="3" fontId="54" fillId="7" borderId="28" xfId="0" applyNumberFormat="1" applyFont="1" applyFill="1" applyBorder="1"/>
    <xf numFmtId="0" fontId="54" fillId="7" borderId="21" xfId="0" applyFont="1" applyFill="1" applyBorder="1"/>
    <xf numFmtId="0" fontId="54" fillId="7" borderId="24" xfId="0" applyFont="1" applyFill="1" applyBorder="1"/>
    <xf numFmtId="3" fontId="54" fillId="7" borderId="24" xfId="0" applyNumberFormat="1" applyFont="1" applyFill="1" applyBorder="1"/>
    <xf numFmtId="0" fontId="55" fillId="7" borderId="21" xfId="0" applyFont="1" applyFill="1" applyBorder="1"/>
    <xf numFmtId="0" fontId="55" fillId="7" borderId="24" xfId="0" applyFont="1" applyFill="1" applyBorder="1"/>
    <xf numFmtId="41" fontId="55" fillId="8" borderId="28" xfId="9" applyFont="1" applyFill="1" applyBorder="1"/>
    <xf numFmtId="0" fontId="54" fillId="8" borderId="28" xfId="0" applyFont="1" applyFill="1" applyBorder="1"/>
    <xf numFmtId="41" fontId="54" fillId="8" borderId="28" xfId="9" applyFont="1" applyFill="1" applyBorder="1"/>
    <xf numFmtId="0" fontId="80" fillId="6" borderId="21" xfId="0" applyFont="1" applyFill="1" applyBorder="1"/>
    <xf numFmtId="0" fontId="80" fillId="6" borderId="25" xfId="0" applyFont="1" applyFill="1" applyBorder="1"/>
    <xf numFmtId="41" fontId="80" fillId="6" borderId="26" xfId="0" applyNumberFormat="1" applyFont="1" applyFill="1" applyBorder="1"/>
    <xf numFmtId="0" fontId="67" fillId="8" borderId="29" xfId="0" applyFont="1" applyFill="1" applyBorder="1" applyAlignment="1">
      <alignment vertical="center" wrapText="1"/>
    </xf>
    <xf numFmtId="41" fontId="64" fillId="8" borderId="27" xfId="9" applyFont="1" applyFill="1" applyBorder="1"/>
    <xf numFmtId="0" fontId="62" fillId="15" borderId="34" xfId="0" applyFont="1" applyFill="1" applyBorder="1" applyAlignment="1">
      <alignment vertical="center" wrapText="1"/>
    </xf>
    <xf numFmtId="41" fontId="64" fillId="15" borderId="36" xfId="9" applyFont="1" applyFill="1" applyBorder="1"/>
    <xf numFmtId="0" fontId="96" fillId="8" borderId="29" xfId="0" applyFont="1" applyFill="1" applyBorder="1" applyAlignment="1">
      <alignment horizontal="center"/>
    </xf>
    <xf numFmtId="0" fontId="96" fillId="8" borderId="30" xfId="0" applyFont="1" applyFill="1" applyBorder="1" applyAlignment="1">
      <alignment horizontal="center"/>
    </xf>
    <xf numFmtId="0" fontId="96" fillId="8" borderId="31" xfId="0" applyFont="1" applyFill="1" applyBorder="1" applyAlignment="1">
      <alignment horizontal="center"/>
    </xf>
    <xf numFmtId="0" fontId="96" fillId="8" borderId="32" xfId="0" applyFont="1" applyFill="1" applyBorder="1"/>
    <xf numFmtId="0" fontId="96" fillId="8" borderId="33" xfId="0" applyFont="1" applyFill="1" applyBorder="1"/>
    <xf numFmtId="0" fontId="96" fillId="8" borderId="34" xfId="0" applyFont="1" applyFill="1" applyBorder="1"/>
    <xf numFmtId="0" fontId="96" fillId="8" borderId="18" xfId="0" applyFont="1" applyFill="1" applyBorder="1"/>
    <xf numFmtId="0" fontId="96" fillId="8" borderId="35" xfId="0" applyFont="1" applyFill="1" applyBorder="1"/>
    <xf numFmtId="0" fontId="96" fillId="8" borderId="27" xfId="0" applyFont="1" applyFill="1" applyBorder="1"/>
    <xf numFmtId="41" fontId="96" fillId="8" borderId="28" xfId="0" applyNumberFormat="1" applyFont="1" applyFill="1" applyBorder="1"/>
    <xf numFmtId="0" fontId="96" fillId="8" borderId="28" xfId="0" applyFont="1" applyFill="1" applyBorder="1"/>
    <xf numFmtId="41" fontId="96" fillId="8" borderId="36" xfId="0" applyNumberFormat="1" applyFont="1" applyFill="1" applyBorder="1"/>
    <xf numFmtId="0" fontId="96" fillId="8" borderId="36" xfId="0" applyFont="1" applyFill="1" applyBorder="1"/>
    <xf numFmtId="0" fontId="66" fillId="14" borderId="27" xfId="0" applyFont="1" applyFill="1" applyBorder="1" applyAlignment="1">
      <alignment horizontal="center" vertical="center" wrapText="1"/>
    </xf>
    <xf numFmtId="0" fontId="55" fillId="8" borderId="27" xfId="0" applyFont="1" applyFill="1" applyBorder="1"/>
    <xf numFmtId="41" fontId="83" fillId="8" borderId="0" xfId="9" applyFont="1" applyFill="1" applyBorder="1" applyAlignment="1">
      <alignment horizontal="center"/>
    </xf>
    <xf numFmtId="0" fontId="83" fillId="8" borderId="0" xfId="0" applyFont="1" applyFill="1" applyAlignment="1">
      <alignment horizontal="center"/>
    </xf>
    <xf numFmtId="0" fontId="58" fillId="8" borderId="1" xfId="0" applyFont="1" applyFill="1" applyBorder="1" applyAlignment="1">
      <alignment vertical="center" wrapText="1"/>
    </xf>
    <xf numFmtId="3" fontId="58" fillId="8" borderId="1" xfId="0" applyNumberFormat="1" applyFont="1" applyFill="1" applyBorder="1" applyAlignment="1">
      <alignment horizontal="center" vertical="center" wrapText="1"/>
    </xf>
    <xf numFmtId="0" fontId="0" fillId="8" borderId="1" xfId="0" applyFill="1" applyBorder="1" applyAlignment="1">
      <alignment vertical="center" wrapText="1"/>
    </xf>
    <xf numFmtId="0" fontId="58" fillId="8" borderId="1" xfId="0" applyFont="1" applyFill="1" applyBorder="1" applyAlignment="1">
      <alignment horizontal="center" vertical="center" wrapText="1"/>
    </xf>
    <xf numFmtId="0" fontId="80" fillId="8" borderId="1" xfId="0" applyFont="1" applyFill="1" applyBorder="1" applyAlignment="1">
      <alignment horizontal="center" vertical="center" wrapText="1"/>
    </xf>
    <xf numFmtId="3" fontId="58" fillId="7" borderId="13" xfId="0" applyNumberFormat="1" applyFont="1" applyFill="1" applyBorder="1" applyAlignment="1">
      <alignment horizontal="center" vertical="center" wrapText="1"/>
    </xf>
    <xf numFmtId="0" fontId="90" fillId="8" borderId="1" xfId="0" applyFont="1" applyFill="1" applyBorder="1" applyAlignment="1">
      <alignment vertical="center"/>
    </xf>
    <xf numFmtId="0" fontId="85" fillId="8" borderId="1" xfId="0" applyFont="1" applyFill="1" applyBorder="1" applyAlignment="1">
      <alignment horizontal="center" vertical="center"/>
    </xf>
    <xf numFmtId="3" fontId="85" fillId="8" borderId="1" xfId="0" applyNumberFormat="1" applyFont="1" applyFill="1" applyBorder="1" applyAlignment="1">
      <alignment horizontal="right" vertical="center"/>
    </xf>
    <xf numFmtId="0" fontId="58" fillId="8" borderId="1" xfId="0" applyFont="1" applyFill="1" applyBorder="1" applyAlignment="1">
      <alignment horizontal="center" vertical="center"/>
    </xf>
    <xf numFmtId="0" fontId="58" fillId="8" borderId="1" xfId="0" applyFont="1" applyFill="1" applyBorder="1" applyAlignment="1">
      <alignment vertical="center"/>
    </xf>
    <xf numFmtId="3" fontId="58" fillId="8" borderId="1" xfId="0" applyNumberFormat="1" applyFont="1" applyFill="1" applyBorder="1" applyAlignment="1">
      <alignment horizontal="right" vertical="center"/>
    </xf>
    <xf numFmtId="9" fontId="57" fillId="8" borderId="1" xfId="0" applyNumberFormat="1" applyFont="1" applyFill="1" applyBorder="1" applyAlignment="1">
      <alignment horizontal="center" vertical="center"/>
    </xf>
    <xf numFmtId="0" fontId="57" fillId="7" borderId="26" xfId="0" applyFont="1" applyFill="1" applyBorder="1" applyAlignment="1">
      <alignment horizontal="center" vertical="center" wrapText="1"/>
    </xf>
    <xf numFmtId="10" fontId="58" fillId="8" borderId="35" xfId="0" applyNumberFormat="1" applyFont="1" applyFill="1" applyBorder="1" applyAlignment="1">
      <alignment horizontal="center" vertical="center" wrapText="1"/>
    </xf>
    <xf numFmtId="41" fontId="98" fillId="8" borderId="0" xfId="9" applyFont="1" applyFill="1" applyBorder="1"/>
    <xf numFmtId="0" fontId="98" fillId="8" borderId="24" xfId="0" applyFont="1" applyFill="1" applyBorder="1" applyAlignment="1">
      <alignment horizontal="center"/>
    </xf>
    <xf numFmtId="0" fontId="98" fillId="8" borderId="0" xfId="0" applyFont="1" applyFill="1" applyAlignment="1">
      <alignment horizontal="left"/>
    </xf>
    <xf numFmtId="41" fontId="98" fillId="8" borderId="0" xfId="9" applyFont="1" applyFill="1" applyBorder="1" applyAlignment="1">
      <alignment horizontal="left"/>
    </xf>
    <xf numFmtId="0" fontId="101" fillId="8" borderId="0" xfId="0" applyFont="1" applyFill="1" applyAlignment="1">
      <alignment horizontal="left"/>
    </xf>
    <xf numFmtId="173" fontId="98" fillId="8" borderId="0" xfId="0" applyNumberFormat="1" applyFont="1" applyFill="1"/>
    <xf numFmtId="0" fontId="67" fillId="16" borderId="28" xfId="0" applyFont="1" applyFill="1" applyBorder="1" applyAlignment="1">
      <alignment vertical="center" wrapText="1"/>
    </xf>
    <xf numFmtId="3" fontId="67" fillId="16" borderId="48" xfId="0" applyNumberFormat="1" applyFont="1" applyFill="1" applyBorder="1" applyAlignment="1">
      <alignment vertical="center" wrapText="1"/>
    </xf>
    <xf numFmtId="0" fontId="103" fillId="23" borderId="29" xfId="0" applyFont="1" applyFill="1" applyBorder="1" applyAlignment="1">
      <alignment vertical="center" wrapText="1"/>
    </xf>
    <xf numFmtId="0" fontId="103" fillId="23" borderId="29" xfId="0" applyFont="1" applyFill="1" applyBorder="1" applyAlignment="1">
      <alignment horizontal="center" vertical="center" wrapText="1"/>
    </xf>
    <xf numFmtId="0" fontId="103" fillId="23" borderId="27" xfId="0" applyFont="1" applyFill="1" applyBorder="1" applyAlignment="1">
      <alignment vertical="center" wrapText="1"/>
    </xf>
    <xf numFmtId="0" fontId="75" fillId="23" borderId="32" xfId="0" applyFont="1" applyFill="1" applyBorder="1" applyAlignment="1">
      <alignment horizontal="center" vertical="center" wrapText="1"/>
    </xf>
    <xf numFmtId="0" fontId="75" fillId="23" borderId="28" xfId="0" applyFont="1" applyFill="1" applyBorder="1" applyAlignment="1">
      <alignment horizontal="center" vertical="center" wrapText="1"/>
    </xf>
    <xf numFmtId="0" fontId="77" fillId="23" borderId="34" xfId="0" applyFont="1" applyFill="1" applyBorder="1"/>
    <xf numFmtId="0" fontId="77" fillId="23" borderId="34" xfId="0" applyFont="1" applyFill="1" applyBorder="1" applyAlignment="1">
      <alignment horizontal="center"/>
    </xf>
    <xf numFmtId="0" fontId="77" fillId="23" borderId="36" xfId="0" applyFont="1" applyFill="1" applyBorder="1"/>
    <xf numFmtId="0" fontId="66" fillId="23" borderId="24" xfId="0" applyFont="1" applyFill="1" applyBorder="1" applyAlignment="1">
      <alignment vertical="center" wrapText="1"/>
    </xf>
    <xf numFmtId="0" fontId="66" fillId="23" borderId="24" xfId="0" applyFont="1" applyFill="1" applyBorder="1" applyAlignment="1">
      <alignment horizontal="center" vertical="center" wrapText="1"/>
    </xf>
    <xf numFmtId="3" fontId="66" fillId="23" borderId="24" xfId="0" applyNumberFormat="1" applyFont="1" applyFill="1" applyBorder="1" applyAlignment="1">
      <alignment horizontal="right" vertical="center" wrapText="1"/>
    </xf>
    <xf numFmtId="41" fontId="66" fillId="23" borderId="24" xfId="9" applyFont="1" applyFill="1" applyBorder="1" applyAlignment="1">
      <alignment vertical="center" wrapText="1"/>
    </xf>
    <xf numFmtId="0" fontId="104" fillId="23" borderId="10" xfId="0" applyFont="1" applyFill="1" applyBorder="1" applyAlignment="1">
      <alignment vertical="center" wrapText="1"/>
    </xf>
    <xf numFmtId="0" fontId="104" fillId="23" borderId="57" xfId="0" applyFont="1" applyFill="1" applyBorder="1" applyAlignment="1">
      <alignment horizontal="center" vertical="center" wrapText="1"/>
    </xf>
    <xf numFmtId="3" fontId="104" fillId="23" borderId="41" xfId="0" applyNumberFormat="1" applyFont="1" applyFill="1" applyBorder="1" applyAlignment="1">
      <alignment vertical="center" wrapText="1"/>
    </xf>
    <xf numFmtId="0" fontId="105" fillId="23" borderId="1" xfId="0" applyFont="1" applyFill="1" applyBorder="1"/>
    <xf numFmtId="41" fontId="105" fillId="23" borderId="1" xfId="9" applyFont="1" applyFill="1" applyBorder="1" applyAlignment="1">
      <alignment horizontal="center"/>
    </xf>
    <xf numFmtId="0" fontId="105" fillId="23" borderId="1" xfId="0" applyFont="1" applyFill="1" applyBorder="1" applyAlignment="1">
      <alignment horizontal="center"/>
    </xf>
    <xf numFmtId="3" fontId="66" fillId="23" borderId="24" xfId="0" applyNumberFormat="1" applyFont="1" applyFill="1" applyBorder="1" applyAlignment="1">
      <alignment vertical="center" wrapText="1"/>
    </xf>
    <xf numFmtId="3" fontId="67" fillId="7" borderId="28" xfId="0" applyNumberFormat="1" applyFont="1" applyFill="1" applyBorder="1" applyAlignment="1">
      <alignment horizontal="right" vertical="center" wrapText="1"/>
    </xf>
    <xf numFmtId="41" fontId="67" fillId="7" borderId="28" xfId="9" applyFont="1" applyFill="1" applyBorder="1" applyAlignment="1">
      <alignment horizontal="center" vertical="center" wrapText="1"/>
    </xf>
    <xf numFmtId="3" fontId="67" fillId="7" borderId="48" xfId="0" applyNumberFormat="1" applyFont="1" applyFill="1" applyBorder="1" applyAlignment="1">
      <alignment horizontal="right" vertical="center" wrapText="1"/>
    </xf>
    <xf numFmtId="3" fontId="67" fillId="7" borderId="28" xfId="0" applyNumberFormat="1" applyFont="1" applyFill="1" applyBorder="1" applyAlignment="1">
      <alignment vertical="center" wrapText="1"/>
    </xf>
    <xf numFmtId="41" fontId="64" fillId="6" borderId="28" xfId="9" applyFont="1" applyFill="1" applyBorder="1"/>
    <xf numFmtId="41" fontId="64" fillId="6" borderId="36" xfId="0" applyNumberFormat="1" applyFont="1" applyFill="1" applyBorder="1"/>
    <xf numFmtId="0" fontId="55" fillId="6" borderId="0" xfId="0" applyFont="1" applyFill="1" applyAlignment="1">
      <alignment horizontal="center"/>
    </xf>
    <xf numFmtId="0" fontId="107" fillId="23" borderId="3" xfId="0" applyFont="1" applyFill="1" applyBorder="1" applyAlignment="1">
      <alignment horizontal="center"/>
    </xf>
    <xf numFmtId="0" fontId="30" fillId="23" borderId="8" xfId="0" applyFont="1" applyFill="1" applyBorder="1"/>
    <xf numFmtId="0" fontId="107" fillId="23" borderId="8" xfId="0" applyFont="1" applyFill="1" applyBorder="1" applyAlignment="1">
      <alignment horizontal="center"/>
    </xf>
    <xf numFmtId="0" fontId="107" fillId="23" borderId="15" xfId="0" applyFont="1" applyFill="1" applyBorder="1" applyAlignment="1">
      <alignment horizontal="center"/>
    </xf>
    <xf numFmtId="0" fontId="107" fillId="23" borderId="10" xfId="0" applyFont="1" applyFill="1" applyBorder="1" applyAlignment="1">
      <alignment horizontal="left" wrapText="1"/>
    </xf>
    <xf numFmtId="0" fontId="107" fillId="23" borderId="11" xfId="0" applyFont="1" applyFill="1" applyBorder="1"/>
    <xf numFmtId="165" fontId="107" fillId="23" borderId="1" xfId="0" applyNumberFormat="1" applyFont="1" applyFill="1" applyBorder="1" applyAlignment="1">
      <alignment vertical="center" wrapText="1"/>
    </xf>
    <xf numFmtId="165" fontId="107" fillId="23" borderId="1" xfId="0" applyNumberFormat="1" applyFont="1" applyFill="1" applyBorder="1" applyAlignment="1">
      <alignment vertical="center"/>
    </xf>
    <xf numFmtId="0" fontId="107" fillId="23" borderId="11" xfId="0" applyFont="1" applyFill="1" applyBorder="1" applyAlignment="1">
      <alignment wrapText="1"/>
    </xf>
    <xf numFmtId="165" fontId="107" fillId="23" borderId="1" xfId="0" applyNumberFormat="1" applyFont="1" applyFill="1" applyBorder="1"/>
    <xf numFmtId="0" fontId="107" fillId="23" borderId="3" xfId="0" applyFont="1" applyFill="1" applyBorder="1"/>
    <xf numFmtId="165" fontId="107" fillId="23" borderId="13" xfId="0" applyNumberFormat="1" applyFont="1" applyFill="1" applyBorder="1" applyAlignment="1">
      <alignment vertical="center"/>
    </xf>
    <xf numFmtId="0" fontId="107" fillId="23" borderId="0" xfId="0" applyFont="1" applyFill="1"/>
    <xf numFmtId="165" fontId="107" fillId="23" borderId="14" xfId="0" applyNumberFormat="1" applyFont="1" applyFill="1" applyBorder="1" applyAlignment="1">
      <alignment vertical="center"/>
    </xf>
    <xf numFmtId="0" fontId="107" fillId="23" borderId="8" xfId="0" applyFont="1" applyFill="1" applyBorder="1"/>
    <xf numFmtId="165" fontId="107" fillId="23" borderId="15" xfId="0" applyNumberFormat="1" applyFont="1" applyFill="1" applyBorder="1" applyAlignment="1">
      <alignment vertical="center"/>
    </xf>
    <xf numFmtId="0" fontId="108" fillId="23" borderId="13" xfId="0" applyFont="1" applyFill="1" applyBorder="1"/>
    <xf numFmtId="0" fontId="108" fillId="23" borderId="13" xfId="0" applyFont="1" applyFill="1" applyBorder="1" applyAlignment="1">
      <alignment horizontal="center"/>
    </xf>
    <xf numFmtId="0" fontId="109" fillId="23" borderId="14" xfId="0" applyFont="1" applyFill="1" applyBorder="1" applyAlignment="1">
      <alignment horizontal="left"/>
    </xf>
    <xf numFmtId="0" fontId="109" fillId="23" borderId="14" xfId="0" applyFont="1" applyFill="1" applyBorder="1" applyAlignment="1">
      <alignment horizontal="center"/>
    </xf>
    <xf numFmtId="14" fontId="109" fillId="23" borderId="14" xfId="0" applyNumberFormat="1" applyFont="1" applyFill="1" applyBorder="1" applyAlignment="1">
      <alignment horizontal="center"/>
    </xf>
    <xf numFmtId="0" fontId="109" fillId="23" borderId="15" xfId="0" applyFont="1" applyFill="1" applyBorder="1" applyAlignment="1">
      <alignment horizontal="left"/>
    </xf>
    <xf numFmtId="0" fontId="109" fillId="23" borderId="15" xfId="0" applyFont="1" applyFill="1" applyBorder="1" applyAlignment="1">
      <alignment horizontal="center"/>
    </xf>
    <xf numFmtId="0" fontId="107" fillId="23" borderId="10" xfId="0" applyFont="1" applyFill="1" applyBorder="1"/>
    <xf numFmtId="0" fontId="107" fillId="23" borderId="10" xfId="0" applyFont="1" applyFill="1" applyBorder="1" applyAlignment="1">
      <alignment horizontal="center"/>
    </xf>
    <xf numFmtId="165" fontId="107" fillId="23" borderId="1" xfId="0" applyNumberFormat="1" applyFont="1" applyFill="1" applyBorder="1" applyProtection="1">
      <protection locked="0"/>
    </xf>
    <xf numFmtId="165" fontId="107" fillId="23" borderId="12" xfId="0" applyNumberFormat="1" applyFont="1" applyFill="1" applyBorder="1" applyProtection="1">
      <protection locked="0"/>
    </xf>
    <xf numFmtId="0" fontId="109" fillId="23" borderId="10" xfId="0" applyFont="1" applyFill="1" applyBorder="1" applyAlignment="1">
      <alignment horizontal="left" vertical="center" indent="2"/>
    </xf>
    <xf numFmtId="0" fontId="109" fillId="23" borderId="11" xfId="0" applyFont="1" applyFill="1" applyBorder="1" applyAlignment="1">
      <alignment horizontal="center" vertical="center"/>
    </xf>
    <xf numFmtId="165" fontId="109" fillId="23" borderId="11" xfId="5" applyNumberFormat="1" applyFont="1" applyFill="1" applyBorder="1" applyProtection="1">
      <alignment vertical="center"/>
      <protection locked="0"/>
    </xf>
    <xf numFmtId="165" fontId="109" fillId="23" borderId="12" xfId="5" applyNumberFormat="1" applyFont="1" applyFill="1" applyBorder="1" applyProtection="1">
      <alignment vertical="center"/>
      <protection locked="0"/>
    </xf>
    <xf numFmtId="0" fontId="30" fillId="23" borderId="13" xfId="0" applyFont="1" applyFill="1" applyBorder="1" applyAlignment="1">
      <alignment horizontal="center"/>
    </xf>
    <xf numFmtId="0" fontId="30" fillId="23" borderId="3" xfId="0" applyFont="1" applyFill="1" applyBorder="1" applyAlignment="1">
      <alignment horizontal="center"/>
    </xf>
    <xf numFmtId="0" fontId="30" fillId="23" borderId="2" xfId="0" applyFont="1" applyFill="1" applyBorder="1" applyAlignment="1">
      <alignment horizontal="center"/>
    </xf>
    <xf numFmtId="0" fontId="30" fillId="23" borderId="14" xfId="0" applyFont="1" applyFill="1" applyBorder="1" applyAlignment="1">
      <alignment horizontal="center"/>
    </xf>
    <xf numFmtId="0" fontId="30" fillId="23" borderId="0" xfId="0" applyFont="1" applyFill="1" applyAlignment="1">
      <alignment horizontal="center"/>
    </xf>
    <xf numFmtId="0" fontId="30" fillId="23" borderId="5" xfId="0" applyFont="1" applyFill="1" applyBorder="1" applyAlignment="1">
      <alignment horizontal="center"/>
    </xf>
    <xf numFmtId="0" fontId="30" fillId="23" borderId="15" xfId="0" applyFont="1" applyFill="1" applyBorder="1" applyAlignment="1">
      <alignment horizontal="center"/>
    </xf>
    <xf numFmtId="0" fontId="30" fillId="23" borderId="8" xfId="0" applyFont="1" applyFill="1" applyBorder="1" applyAlignment="1">
      <alignment horizontal="center"/>
    </xf>
    <xf numFmtId="0" fontId="30" fillId="23" borderId="7" xfId="0" applyFont="1" applyFill="1" applyBorder="1" applyAlignment="1">
      <alignment horizontal="center"/>
    </xf>
    <xf numFmtId="165" fontId="107" fillId="23" borderId="11" xfId="0" applyNumberFormat="1" applyFont="1" applyFill="1" applyBorder="1"/>
    <xf numFmtId="165" fontId="30" fillId="23" borderId="13" xfId="0" applyNumberFormat="1" applyFont="1" applyFill="1" applyBorder="1" applyAlignment="1">
      <alignment horizontal="center"/>
    </xf>
    <xf numFmtId="165" fontId="30" fillId="23" borderId="3" xfId="0" applyNumberFormat="1" applyFont="1" applyFill="1" applyBorder="1" applyAlignment="1">
      <alignment horizontal="center"/>
    </xf>
    <xf numFmtId="165" fontId="30" fillId="23" borderId="14" xfId="0" applyNumberFormat="1" applyFont="1" applyFill="1" applyBorder="1" applyAlignment="1">
      <alignment horizontal="center"/>
    </xf>
    <xf numFmtId="165" fontId="30" fillId="23" borderId="0" xfId="0" applyNumberFormat="1" applyFont="1" applyFill="1" applyAlignment="1">
      <alignment horizontal="center"/>
    </xf>
    <xf numFmtId="165" fontId="30" fillId="23" borderId="15" xfId="0" applyNumberFormat="1" applyFont="1" applyFill="1" applyBorder="1" applyAlignment="1">
      <alignment horizontal="center"/>
    </xf>
    <xf numFmtId="165" fontId="30" fillId="23" borderId="8" xfId="0" applyNumberFormat="1" applyFont="1" applyFill="1" applyBorder="1" applyAlignment="1">
      <alignment horizontal="center"/>
    </xf>
    <xf numFmtId="0" fontId="107" fillId="23" borderId="2" xfId="0" applyFont="1" applyFill="1" applyBorder="1" applyAlignment="1">
      <alignment horizontal="center"/>
    </xf>
    <xf numFmtId="0" fontId="107" fillId="23" borderId="5" xfId="0" applyFont="1" applyFill="1" applyBorder="1" applyAlignment="1">
      <alignment horizontal="center"/>
    </xf>
    <xf numFmtId="0" fontId="107" fillId="23" borderId="0" xfId="0" applyFont="1" applyFill="1" applyAlignment="1">
      <alignment horizontal="center"/>
    </xf>
    <xf numFmtId="14" fontId="107" fillId="23" borderId="0" xfId="0" applyNumberFormat="1" applyFont="1" applyFill="1" applyAlignment="1">
      <alignment horizontal="center"/>
    </xf>
    <xf numFmtId="0" fontId="107" fillId="23" borderId="7" xfId="0" applyFont="1" applyFill="1" applyBorder="1" applyAlignment="1">
      <alignment horizontal="center"/>
    </xf>
    <xf numFmtId="0" fontId="107" fillId="23" borderId="2" xfId="0" applyFont="1" applyFill="1" applyBorder="1" applyAlignment="1">
      <alignment horizontal="center" vertical="center" wrapText="1"/>
    </xf>
    <xf numFmtId="0" fontId="107" fillId="23" borderId="5" xfId="0" applyFont="1" applyFill="1" applyBorder="1" applyAlignment="1">
      <alignment horizontal="center" vertical="center" wrapText="1"/>
    </xf>
    <xf numFmtId="14" fontId="107" fillId="23" borderId="2" xfId="0" applyNumberFormat="1" applyFont="1" applyFill="1" applyBorder="1" applyAlignment="1">
      <alignment horizontal="center" vertical="center" wrapText="1"/>
    </xf>
    <xf numFmtId="14" fontId="107" fillId="23" borderId="3" xfId="0" applyNumberFormat="1" applyFont="1" applyFill="1" applyBorder="1" applyAlignment="1">
      <alignment horizontal="center" vertical="center" wrapText="1"/>
    </xf>
    <xf numFmtId="14" fontId="107" fillId="23" borderId="4" xfId="0" applyNumberFormat="1" applyFont="1" applyFill="1" applyBorder="1" applyAlignment="1">
      <alignment horizontal="center" vertical="center" wrapText="1"/>
    </xf>
    <xf numFmtId="0" fontId="30" fillId="23" borderId="7" xfId="0" applyFont="1" applyFill="1" applyBorder="1"/>
    <xf numFmtId="0" fontId="107" fillId="23" borderId="9" xfId="0" applyFont="1" applyFill="1" applyBorder="1" applyAlignment="1">
      <alignment horizontal="center"/>
    </xf>
    <xf numFmtId="3" fontId="107" fillId="23" borderId="10" xfId="0" applyNumberFormat="1" applyFont="1" applyFill="1" applyBorder="1" applyProtection="1">
      <protection locked="0"/>
    </xf>
    <xf numFmtId="0" fontId="107" fillId="23" borderId="13" xfId="0" applyFont="1" applyFill="1" applyBorder="1" applyAlignment="1">
      <alignment horizontal="center" vertical="center" wrapText="1"/>
    </xf>
    <xf numFmtId="0" fontId="107" fillId="23" borderId="14" xfId="0" applyFont="1" applyFill="1" applyBorder="1" applyAlignment="1">
      <alignment horizontal="center" vertical="center" wrapText="1"/>
    </xf>
    <xf numFmtId="14" fontId="107" fillId="23" borderId="15" xfId="0" applyNumberFormat="1" applyFont="1" applyFill="1" applyBorder="1" applyAlignment="1">
      <alignment horizontal="center" vertical="center" wrapText="1"/>
    </xf>
    <xf numFmtId="14" fontId="107" fillId="23" borderId="13" xfId="0" applyNumberFormat="1" applyFont="1" applyFill="1" applyBorder="1" applyAlignment="1">
      <alignment horizontal="center" vertical="center" wrapText="1"/>
    </xf>
    <xf numFmtId="0" fontId="107" fillId="23" borderId="15" xfId="0" applyFont="1" applyFill="1" applyBorder="1"/>
    <xf numFmtId="3" fontId="1" fillId="6" borderId="5" xfId="0" applyNumberFormat="1" applyFont="1" applyFill="1" applyBorder="1" applyProtection="1">
      <protection locked="0"/>
    </xf>
    <xf numFmtId="3" fontId="1" fillId="6" borderId="0" xfId="0" applyNumberFormat="1" applyFont="1" applyFill="1" applyProtection="1">
      <protection locked="0"/>
    </xf>
    <xf numFmtId="3" fontId="1" fillId="6" borderId="6" xfId="0" applyNumberFormat="1" applyFont="1" applyFill="1" applyBorder="1" applyProtection="1">
      <protection locked="0"/>
    </xf>
    <xf numFmtId="0" fontId="107" fillId="23" borderId="6" xfId="0" applyFont="1" applyFill="1" applyBorder="1" applyAlignment="1">
      <alignment horizontal="center"/>
    </xf>
    <xf numFmtId="14" fontId="107" fillId="23" borderId="5" xfId="0" applyNumberFormat="1" applyFont="1" applyFill="1" applyBorder="1"/>
    <xf numFmtId="14" fontId="107" fillId="23" borderId="6" xfId="0" applyNumberFormat="1" applyFont="1" applyFill="1" applyBorder="1"/>
    <xf numFmtId="3" fontId="107" fillId="23" borderId="10" xfId="0" applyNumberFormat="1" applyFont="1" applyFill="1" applyBorder="1"/>
    <xf numFmtId="3" fontId="107" fillId="23" borderId="12" xfId="0" applyNumberFormat="1" applyFont="1" applyFill="1" applyBorder="1"/>
    <xf numFmtId="3" fontId="107" fillId="23" borderId="11" xfId="0" applyNumberFormat="1" applyFont="1" applyFill="1" applyBorder="1"/>
    <xf numFmtId="14" fontId="107" fillId="23" borderId="3" xfId="0" applyNumberFormat="1" applyFont="1" applyFill="1" applyBorder="1"/>
    <xf numFmtId="14" fontId="107" fillId="23" borderId="4" xfId="0" applyNumberFormat="1" applyFont="1" applyFill="1" applyBorder="1"/>
    <xf numFmtId="0" fontId="30" fillId="23" borderId="2" xfId="0" applyFont="1" applyFill="1" applyBorder="1"/>
    <xf numFmtId="0" fontId="30" fillId="23" borderId="3" xfId="0" applyFont="1" applyFill="1" applyBorder="1"/>
    <xf numFmtId="0" fontId="107" fillId="23" borderId="3" xfId="0" applyFont="1" applyFill="1" applyBorder="1" applyAlignment="1">
      <alignment horizontal="center" vertical="center" wrapText="1"/>
    </xf>
    <xf numFmtId="0" fontId="107" fillId="23" borderId="4" xfId="0" applyFont="1" applyFill="1" applyBorder="1" applyAlignment="1">
      <alignment horizontal="center" vertical="center" wrapText="1"/>
    </xf>
    <xf numFmtId="0" fontId="107" fillId="23" borderId="0" xfId="0" quotePrefix="1" applyFont="1" applyFill="1" applyAlignment="1">
      <alignment horizontal="center"/>
    </xf>
    <xf numFmtId="14" fontId="110" fillId="23" borderId="0" xfId="0" applyNumberFormat="1" applyFont="1" applyFill="1" applyAlignment="1">
      <alignment horizontal="center" vertical="center" wrapText="1"/>
    </xf>
    <xf numFmtId="14" fontId="110" fillId="23" borderId="6" xfId="0" applyNumberFormat="1" applyFont="1" applyFill="1" applyBorder="1" applyAlignment="1">
      <alignment horizontal="center" vertical="center" wrapText="1"/>
    </xf>
    <xf numFmtId="0" fontId="107" fillId="23" borderId="8" xfId="0" quotePrefix="1" applyFont="1" applyFill="1" applyBorder="1" applyAlignment="1">
      <alignment horizontal="center"/>
    </xf>
    <xf numFmtId="0" fontId="107" fillId="23" borderId="10" xfId="0" applyFont="1" applyFill="1" applyBorder="1" applyProtection="1">
      <protection locked="0"/>
    </xf>
    <xf numFmtId="0" fontId="107" fillId="23" borderId="11" xfId="0" applyFont="1" applyFill="1" applyBorder="1" applyAlignment="1" applyProtection="1">
      <alignment horizontal="center"/>
      <protection locked="0"/>
    </xf>
    <xf numFmtId="0" fontId="107" fillId="23" borderId="11" xfId="0" applyFont="1" applyFill="1" applyBorder="1" applyProtection="1">
      <protection locked="0"/>
    </xf>
    <xf numFmtId="165" fontId="107" fillId="23" borderId="11" xfId="0" applyNumberFormat="1" applyFont="1" applyFill="1" applyBorder="1" applyProtection="1">
      <protection locked="0"/>
    </xf>
    <xf numFmtId="0" fontId="107" fillId="23" borderId="11" xfId="0" applyFont="1" applyFill="1" applyBorder="1" applyAlignment="1">
      <alignment horizontal="center"/>
    </xf>
    <xf numFmtId="0" fontId="107" fillId="23" borderId="4" xfId="0" applyFont="1" applyFill="1" applyBorder="1" applyAlignment="1">
      <alignment horizontal="center"/>
    </xf>
    <xf numFmtId="0" fontId="107" fillId="23" borderId="13" xfId="0" applyFont="1" applyFill="1" applyBorder="1" applyAlignment="1">
      <alignment horizontal="center"/>
    </xf>
    <xf numFmtId="0" fontId="107" fillId="23" borderId="14" xfId="0" applyFont="1" applyFill="1" applyBorder="1" applyAlignment="1">
      <alignment horizontal="center"/>
    </xf>
    <xf numFmtId="0" fontId="107" fillId="23" borderId="6" xfId="0" quotePrefix="1" applyFont="1" applyFill="1" applyBorder="1" applyAlignment="1">
      <alignment horizontal="center"/>
    </xf>
    <xf numFmtId="0" fontId="107" fillId="23" borderId="14" xfId="0" quotePrefix="1" applyFont="1" applyFill="1" applyBorder="1" applyAlignment="1">
      <alignment horizontal="center"/>
    </xf>
    <xf numFmtId="165" fontId="107" fillId="23" borderId="10" xfId="0" applyNumberFormat="1" applyFont="1" applyFill="1" applyBorder="1"/>
    <xf numFmtId="165" fontId="107" fillId="23" borderId="7" xfId="0" applyNumberFormat="1" applyFont="1" applyFill="1" applyBorder="1"/>
    <xf numFmtId="0" fontId="30" fillId="23" borderId="2" xfId="0" applyFont="1" applyFill="1" applyBorder="1" applyAlignment="1">
      <alignment wrapText="1"/>
    </xf>
    <xf numFmtId="0" fontId="30" fillId="23" borderId="5" xfId="0" applyFont="1" applyFill="1" applyBorder="1" applyAlignment="1">
      <alignment wrapText="1"/>
    </xf>
    <xf numFmtId="14" fontId="107" fillId="23" borderId="6" xfId="0" applyNumberFormat="1" applyFont="1" applyFill="1" applyBorder="1" applyAlignment="1">
      <alignment horizontal="center"/>
    </xf>
    <xf numFmtId="0" fontId="30" fillId="23" borderId="7" xfId="0" applyFont="1" applyFill="1" applyBorder="1" applyAlignment="1">
      <alignment wrapText="1"/>
    </xf>
    <xf numFmtId="0" fontId="107" fillId="23" borderId="10" xfId="0" applyFont="1" applyFill="1" applyBorder="1" applyAlignment="1">
      <alignment wrapText="1"/>
    </xf>
    <xf numFmtId="0" fontId="30" fillId="23" borderId="13" xfId="0" applyFont="1" applyFill="1" applyBorder="1"/>
    <xf numFmtId="0" fontId="107" fillId="23" borderId="14" xfId="0" applyFont="1" applyFill="1" applyBorder="1"/>
    <xf numFmtId="0" fontId="30" fillId="23" borderId="15" xfId="0" applyFont="1" applyFill="1" applyBorder="1"/>
    <xf numFmtId="0" fontId="30" fillId="23" borderId="14" xfId="0" applyFont="1" applyFill="1" applyBorder="1"/>
    <xf numFmtId="14" fontId="110" fillId="23" borderId="5" xfId="0" applyNumberFormat="1" applyFont="1" applyFill="1" applyBorder="1" applyAlignment="1">
      <alignment horizontal="center" vertical="center" wrapText="1"/>
    </xf>
    <xf numFmtId="0" fontId="30" fillId="23" borderId="5" xfId="0" applyFont="1" applyFill="1" applyBorder="1"/>
    <xf numFmtId="0" fontId="107" fillId="23" borderId="2" xfId="0" applyFont="1" applyFill="1" applyBorder="1"/>
    <xf numFmtId="0" fontId="107" fillId="23" borderId="27" xfId="0" applyFont="1" applyFill="1" applyBorder="1" applyAlignment="1">
      <alignment horizontal="center"/>
    </xf>
    <xf numFmtId="0" fontId="107" fillId="23" borderId="31" xfId="0" applyFont="1" applyFill="1" applyBorder="1" applyAlignment="1">
      <alignment horizontal="center"/>
    </xf>
    <xf numFmtId="0" fontId="107" fillId="23" borderId="36" xfId="0" applyFont="1" applyFill="1" applyBorder="1" applyAlignment="1">
      <alignment horizontal="center"/>
    </xf>
    <xf numFmtId="0" fontId="107" fillId="23" borderId="35" xfId="0" applyFont="1" applyFill="1" applyBorder="1" applyAlignment="1">
      <alignment horizontal="center"/>
    </xf>
    <xf numFmtId="0" fontId="107" fillId="23" borderId="21" xfId="0" applyFont="1" applyFill="1" applyBorder="1"/>
    <xf numFmtId="165" fontId="107" fillId="23" borderId="24" xfId="0" applyNumberFormat="1" applyFont="1" applyFill="1" applyBorder="1"/>
    <xf numFmtId="165" fontId="107" fillId="23" borderId="26" xfId="0" applyNumberFormat="1" applyFont="1" applyFill="1" applyBorder="1"/>
    <xf numFmtId="165" fontId="107" fillId="23" borderId="12" xfId="0" applyNumberFormat="1" applyFont="1" applyFill="1" applyBorder="1"/>
    <xf numFmtId="0" fontId="107" fillId="23" borderId="8" xfId="0" applyFont="1" applyFill="1" applyBorder="1" applyAlignment="1">
      <alignment horizontal="center" vertical="center" wrapText="1"/>
    </xf>
    <xf numFmtId="0" fontId="107" fillId="23" borderId="9" xfId="0" applyFont="1" applyFill="1" applyBorder="1" applyAlignment="1">
      <alignment horizontal="center" vertical="center" wrapText="1"/>
    </xf>
    <xf numFmtId="0" fontId="30" fillId="23" borderId="11" xfId="0" applyFont="1" applyFill="1" applyBorder="1"/>
    <xf numFmtId="165" fontId="30" fillId="23" borderId="12" xfId="0" applyNumberFormat="1" applyFont="1" applyFill="1" applyBorder="1"/>
    <xf numFmtId="0" fontId="107" fillId="23" borderId="2" xfId="0" applyFont="1" applyFill="1" applyBorder="1" applyAlignment="1">
      <alignment vertical="center" wrapText="1"/>
    </xf>
    <xf numFmtId="0" fontId="107" fillId="23" borderId="4" xfId="0" applyFont="1" applyFill="1" applyBorder="1" applyAlignment="1">
      <alignment vertical="center" wrapText="1"/>
    </xf>
    <xf numFmtId="14" fontId="107" fillId="23" borderId="5" xfId="0" applyNumberFormat="1" applyFont="1" applyFill="1" applyBorder="1" applyAlignment="1">
      <alignment horizontal="center" vertical="center" wrapText="1"/>
    </xf>
    <xf numFmtId="14" fontId="107" fillId="23" borderId="6" xfId="0" applyNumberFormat="1" applyFont="1" applyFill="1" applyBorder="1" applyAlignment="1">
      <alignment horizontal="center" vertical="center" wrapText="1"/>
    </xf>
    <xf numFmtId="0" fontId="107" fillId="23" borderId="6" xfId="0" applyFont="1" applyFill="1" applyBorder="1" applyAlignment="1">
      <alignment horizontal="center" vertical="center"/>
    </xf>
    <xf numFmtId="0" fontId="107" fillId="23" borderId="9" xfId="0" applyFont="1" applyFill="1" applyBorder="1" applyAlignment="1">
      <alignment horizontal="center" vertical="center"/>
    </xf>
    <xf numFmtId="0" fontId="107" fillId="23" borderId="7" xfId="0" applyFont="1" applyFill="1" applyBorder="1"/>
    <xf numFmtId="0" fontId="107" fillId="23" borderId="13" xfId="0" applyFont="1" applyFill="1" applyBorder="1" applyAlignment="1">
      <alignment horizontal="center" wrapText="1"/>
    </xf>
    <xf numFmtId="0" fontId="30" fillId="23" borderId="0" xfId="0" applyFont="1" applyFill="1"/>
    <xf numFmtId="14" fontId="107" fillId="23" borderId="14" xfId="0" applyNumberFormat="1" applyFont="1" applyFill="1" applyBorder="1" applyAlignment="1">
      <alignment horizontal="center"/>
    </xf>
    <xf numFmtId="0" fontId="107" fillId="23" borderId="0" xfId="0" applyFont="1" applyFill="1" applyAlignment="1">
      <alignment horizontal="center" vertical="center" wrapText="1"/>
    </xf>
    <xf numFmtId="0" fontId="107" fillId="23" borderId="10" xfId="0" applyFont="1" applyFill="1" applyBorder="1" applyAlignment="1">
      <alignment horizontal="center" vertical="center" wrapText="1"/>
    </xf>
    <xf numFmtId="0" fontId="107" fillId="23" borderId="11" xfId="0" applyFont="1" applyFill="1" applyBorder="1" applyAlignment="1">
      <alignment horizontal="center" vertical="center" wrapText="1"/>
    </xf>
    <xf numFmtId="0" fontId="107" fillId="23" borderId="1" xfId="0" applyFont="1" applyFill="1" applyBorder="1" applyAlignment="1">
      <alignment horizontal="center" vertical="center" wrapText="1"/>
    </xf>
    <xf numFmtId="0" fontId="107" fillId="23" borderId="6" xfId="0" applyFont="1" applyFill="1" applyBorder="1" applyAlignment="1">
      <alignment horizontal="center" vertical="center" wrapText="1"/>
    </xf>
    <xf numFmtId="0" fontId="107" fillId="23" borderId="5" xfId="0" applyFont="1" applyFill="1" applyBorder="1" applyAlignment="1">
      <alignment horizontal="center" vertical="center"/>
    </xf>
    <xf numFmtId="0" fontId="107" fillId="23" borderId="7" xfId="0" applyFont="1" applyFill="1" applyBorder="1" applyAlignment="1">
      <alignment horizontal="center" vertical="center" wrapText="1"/>
    </xf>
    <xf numFmtId="0" fontId="107" fillId="23" borderId="7" xfId="0" applyFont="1" applyFill="1" applyBorder="1" applyAlignment="1">
      <alignment horizontal="center" vertical="center"/>
    </xf>
    <xf numFmtId="14" fontId="107" fillId="23" borderId="10" xfId="0" applyNumberFormat="1" applyFont="1" applyFill="1" applyBorder="1" applyProtection="1">
      <protection locked="0"/>
    </xf>
    <xf numFmtId="14" fontId="107" fillId="23" borderId="10" xfId="0" applyNumberFormat="1" applyFont="1" applyFill="1" applyBorder="1" applyAlignment="1" applyProtection="1">
      <alignment horizontal="left"/>
      <protection locked="0"/>
    </xf>
    <xf numFmtId="0" fontId="110" fillId="23" borderId="2" xfId="0" applyFont="1" applyFill="1" applyBorder="1" applyAlignment="1">
      <alignment horizontal="center"/>
    </xf>
    <xf numFmtId="0" fontId="110" fillId="23" borderId="2" xfId="0" applyFont="1" applyFill="1" applyBorder="1" applyAlignment="1">
      <alignment horizontal="center" vertical="center" wrapText="1"/>
    </xf>
    <xf numFmtId="0" fontId="110" fillId="23" borderId="13" xfId="0" applyFont="1" applyFill="1" applyBorder="1" applyAlignment="1">
      <alignment horizontal="center" vertical="center" wrapText="1"/>
    </xf>
    <xf numFmtId="0" fontId="110" fillId="23" borderId="5" xfId="0" applyFont="1" applyFill="1" applyBorder="1" applyAlignment="1">
      <alignment horizontal="center"/>
    </xf>
    <xf numFmtId="0" fontId="110" fillId="23" borderId="5" xfId="0" applyFont="1" applyFill="1" applyBorder="1" applyAlignment="1">
      <alignment horizontal="center" vertical="center" wrapText="1"/>
    </xf>
    <xf numFmtId="14" fontId="110" fillId="23" borderId="14" xfId="0" applyNumberFormat="1" applyFont="1" applyFill="1" applyBorder="1" applyAlignment="1">
      <alignment horizontal="center" vertical="center" wrapText="1"/>
    </xf>
    <xf numFmtId="0" fontId="110" fillId="23" borderId="7" xfId="0" applyFont="1" applyFill="1" applyBorder="1" applyAlignment="1">
      <alignment horizontal="center"/>
    </xf>
    <xf numFmtId="0" fontId="110" fillId="23" borderId="15" xfId="0" applyFont="1" applyFill="1" applyBorder="1" applyAlignment="1">
      <alignment horizontal="center"/>
    </xf>
    <xf numFmtId="14" fontId="110" fillId="23" borderId="38" xfId="0" applyNumberFormat="1" applyFont="1" applyFill="1" applyBorder="1" applyProtection="1">
      <protection locked="0"/>
    </xf>
    <xf numFmtId="165" fontId="110" fillId="23" borderId="20" xfId="0" applyNumberFormat="1" applyFont="1" applyFill="1" applyBorder="1"/>
    <xf numFmtId="165" fontId="110" fillId="23" borderId="25" xfId="0" applyNumberFormat="1" applyFont="1" applyFill="1" applyBorder="1"/>
    <xf numFmtId="165" fontId="110" fillId="23" borderId="37" xfId="0" applyNumberFormat="1" applyFont="1" applyFill="1" applyBorder="1"/>
    <xf numFmtId="14" fontId="110" fillId="23" borderId="15" xfId="0" applyNumberFormat="1" applyFont="1" applyFill="1" applyBorder="1" applyProtection="1">
      <protection locked="0"/>
    </xf>
    <xf numFmtId="165" fontId="110" fillId="23" borderId="11" xfId="0" applyNumberFormat="1" applyFont="1" applyFill="1" applyBorder="1"/>
    <xf numFmtId="165" fontId="110" fillId="23" borderId="1" xfId="0" applyNumberFormat="1" applyFont="1" applyFill="1" applyBorder="1"/>
    <xf numFmtId="14" fontId="107" fillId="23" borderId="10" xfId="0" applyNumberFormat="1" applyFont="1" applyFill="1" applyBorder="1"/>
    <xf numFmtId="0" fontId="107" fillId="23" borderId="10" xfId="0" applyFont="1" applyFill="1" applyBorder="1" applyAlignment="1">
      <alignment horizontal="center" wrapText="1"/>
    </xf>
    <xf numFmtId="0" fontId="107" fillId="23" borderId="1" xfId="0" applyFont="1" applyFill="1" applyBorder="1" applyAlignment="1">
      <alignment horizontal="center" wrapText="1"/>
    </xf>
    <xf numFmtId="0" fontId="107" fillId="23" borderId="12" xfId="0" applyFont="1" applyFill="1" applyBorder="1" applyProtection="1">
      <protection locked="0"/>
    </xf>
    <xf numFmtId="14" fontId="107" fillId="23" borderId="0" xfId="0" applyNumberFormat="1" applyFont="1" applyFill="1"/>
    <xf numFmtId="165" fontId="107" fillId="23" borderId="13" xfId="0" applyNumberFormat="1" applyFont="1" applyFill="1" applyBorder="1" applyAlignment="1">
      <alignment horizontal="center" vertical="center" wrapText="1"/>
    </xf>
    <xf numFmtId="165" fontId="107" fillId="23" borderId="3" xfId="0" applyNumberFormat="1" applyFont="1" applyFill="1" applyBorder="1" applyAlignment="1">
      <alignment horizontal="center" vertical="center" wrapText="1"/>
    </xf>
    <xf numFmtId="165" fontId="107" fillId="23" borderId="4" xfId="0" applyNumberFormat="1" applyFont="1" applyFill="1" applyBorder="1" applyAlignment="1">
      <alignment horizontal="center" vertical="center" wrapText="1"/>
    </xf>
    <xf numFmtId="165" fontId="107" fillId="23" borderId="2" xfId="0" applyNumberFormat="1" applyFont="1" applyFill="1" applyBorder="1" applyAlignment="1">
      <alignment horizontal="center" vertical="center" wrapText="1"/>
    </xf>
    <xf numFmtId="165" fontId="107" fillId="23" borderId="15" xfId="0" applyNumberFormat="1" applyFont="1" applyFill="1" applyBorder="1" applyAlignment="1">
      <alignment horizontal="center"/>
    </xf>
    <xf numFmtId="165" fontId="107" fillId="23" borderId="8" xfId="0" applyNumberFormat="1" applyFont="1" applyFill="1" applyBorder="1" applyAlignment="1">
      <alignment horizontal="center"/>
    </xf>
    <xf numFmtId="165" fontId="107" fillId="23" borderId="7" xfId="0" applyNumberFormat="1" applyFont="1" applyFill="1" applyBorder="1" applyAlignment="1">
      <alignment horizontal="center" vertical="center" wrapText="1"/>
    </xf>
    <xf numFmtId="165" fontId="107" fillId="23" borderId="9" xfId="0" applyNumberFormat="1" applyFont="1" applyFill="1" applyBorder="1" applyAlignment="1">
      <alignment horizontal="center" vertical="center" wrapText="1"/>
    </xf>
    <xf numFmtId="165" fontId="107" fillId="23" borderId="10" xfId="0" applyNumberFormat="1" applyFont="1" applyFill="1" applyBorder="1" applyProtection="1">
      <protection locked="0"/>
    </xf>
    <xf numFmtId="0" fontId="107" fillId="23" borderId="4" xfId="0" applyFont="1" applyFill="1" applyBorder="1"/>
    <xf numFmtId="0" fontId="107" fillId="23" borderId="12" xfId="0" applyFont="1" applyFill="1" applyBorder="1"/>
    <xf numFmtId="0" fontId="110" fillId="23" borderId="13" xfId="0" applyFont="1" applyFill="1" applyBorder="1" applyAlignment="1">
      <alignment horizontal="center"/>
    </xf>
    <xf numFmtId="0" fontId="110" fillId="23" borderId="10" xfId="0" applyFont="1" applyFill="1" applyBorder="1"/>
    <xf numFmtId="165" fontId="110" fillId="23" borderId="10" xfId="0" applyNumberFormat="1" applyFont="1" applyFill="1" applyBorder="1"/>
    <xf numFmtId="165" fontId="31" fillId="23" borderId="12" xfId="0" applyNumberFormat="1" applyFont="1" applyFill="1" applyBorder="1"/>
    <xf numFmtId="14" fontId="107" fillId="23" borderId="5" xfId="0" applyNumberFormat="1" applyFont="1" applyFill="1" applyBorder="1" applyAlignment="1">
      <alignment horizontal="center"/>
    </xf>
    <xf numFmtId="41" fontId="107" fillId="23" borderId="11" xfId="9" applyFont="1" applyFill="1" applyBorder="1"/>
    <xf numFmtId="0" fontId="30" fillId="23" borderId="13" xfId="0" applyFont="1" applyFill="1" applyBorder="1" applyAlignment="1">
      <alignment wrapText="1"/>
    </xf>
    <xf numFmtId="0" fontId="107" fillId="23" borderId="14" xfId="0" applyFont="1" applyFill="1" applyBorder="1" applyAlignment="1">
      <alignment horizontal="center" wrapText="1"/>
    </xf>
    <xf numFmtId="0" fontId="30" fillId="23" borderId="15" xfId="0" applyFont="1" applyFill="1" applyBorder="1" applyAlignment="1">
      <alignment wrapText="1"/>
    </xf>
    <xf numFmtId="0" fontId="107" fillId="23" borderId="5" xfId="0" applyFont="1" applyFill="1" applyBorder="1" applyAlignment="1">
      <alignment horizontal="center" wrapText="1"/>
    </xf>
    <xf numFmtId="41" fontId="107" fillId="23" borderId="12" xfId="9" applyFont="1" applyFill="1" applyBorder="1"/>
    <xf numFmtId="0" fontId="107" fillId="23" borderId="13" xfId="0" applyFont="1" applyFill="1" applyBorder="1"/>
    <xf numFmtId="0" fontId="107" fillId="23" borderId="5" xfId="0" applyFont="1" applyFill="1" applyBorder="1" applyAlignment="1">
      <alignment horizontal="justify" wrapText="1"/>
    </xf>
    <xf numFmtId="0" fontId="107" fillId="23" borderId="18" xfId="0" applyFont="1" applyFill="1" applyBorder="1" applyAlignment="1">
      <alignment horizontal="center" wrapText="1"/>
    </xf>
    <xf numFmtId="0" fontId="107" fillId="23" borderId="19" xfId="0" applyFont="1" applyFill="1" applyBorder="1" applyAlignment="1">
      <alignment horizontal="center" wrapText="1"/>
    </xf>
    <xf numFmtId="0" fontId="107" fillId="23" borderId="1" xfId="0" applyFont="1" applyFill="1" applyBorder="1" applyAlignment="1">
      <alignment horizontal="justify" wrapText="1"/>
    </xf>
    <xf numFmtId="165" fontId="107" fillId="23" borderId="1" xfId="0" applyNumberFormat="1" applyFont="1" applyFill="1" applyBorder="1" applyAlignment="1">
      <alignment horizontal="right" wrapText="1"/>
    </xf>
    <xf numFmtId="0" fontId="107" fillId="23" borderId="0" xfId="0" applyFont="1" applyFill="1" applyAlignment="1">
      <alignment horizontal="center" wrapText="1"/>
    </xf>
    <xf numFmtId="165" fontId="107" fillId="23" borderId="15" xfId="0" applyNumberFormat="1" applyFont="1" applyFill="1" applyBorder="1" applyAlignment="1">
      <alignment horizontal="right" wrapText="1"/>
    </xf>
    <xf numFmtId="14" fontId="106" fillId="23" borderId="11" xfId="0" applyNumberFormat="1" applyFont="1" applyFill="1" applyBorder="1" applyAlignment="1" applyProtection="1">
      <alignment horizontal="center"/>
      <protection locked="0"/>
    </xf>
    <xf numFmtId="0" fontId="106" fillId="23" borderId="11" xfId="0" applyFont="1" applyFill="1" applyBorder="1"/>
    <xf numFmtId="0" fontId="106" fillId="23" borderId="12" xfId="0" applyFont="1" applyFill="1" applyBorder="1"/>
    <xf numFmtId="0" fontId="103" fillId="23" borderId="10" xfId="0" applyFont="1" applyFill="1" applyBorder="1"/>
    <xf numFmtId="0" fontId="106" fillId="23" borderId="11" xfId="0" applyFont="1" applyFill="1" applyBorder="1" applyAlignment="1">
      <alignment horizontal="center" vertical="center" wrapText="1"/>
    </xf>
    <xf numFmtId="0" fontId="106" fillId="23" borderId="12" xfId="0" applyFont="1" applyFill="1" applyBorder="1" applyAlignment="1">
      <alignment horizontal="center" wrapText="1"/>
    </xf>
    <xf numFmtId="0" fontId="106" fillId="23" borderId="12" xfId="0" applyFont="1" applyFill="1" applyBorder="1" applyAlignment="1">
      <alignment horizontal="center" vertical="center" wrapText="1"/>
    </xf>
    <xf numFmtId="0" fontId="103" fillId="23" borderId="2" xfId="0" applyFont="1" applyFill="1" applyBorder="1"/>
    <xf numFmtId="0" fontId="106" fillId="23" borderId="4" xfId="0" applyFont="1" applyFill="1" applyBorder="1" applyAlignment="1">
      <alignment horizontal="center" vertical="top" wrapText="1"/>
    </xf>
    <xf numFmtId="0" fontId="103" fillId="23" borderId="7" xfId="0" applyFont="1" applyFill="1" applyBorder="1"/>
    <xf numFmtId="0" fontId="106" fillId="23" borderId="9" xfId="0" applyFont="1" applyFill="1" applyBorder="1" applyAlignment="1">
      <alignment horizontal="center" vertical="top" wrapText="1"/>
    </xf>
    <xf numFmtId="0" fontId="67" fillId="8" borderId="32"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16" borderId="27" xfId="0" applyFont="1" applyFill="1" applyBorder="1" applyAlignment="1">
      <alignment horizontal="center" vertical="center" wrapText="1"/>
    </xf>
    <xf numFmtId="0" fontId="66" fillId="16" borderId="36" xfId="0" applyFont="1" applyFill="1" applyBorder="1" applyAlignment="1">
      <alignment horizontal="center" vertical="center" wrapText="1"/>
    </xf>
    <xf numFmtId="0" fontId="82" fillId="8" borderId="0" xfId="0" applyFont="1" applyFill="1" applyAlignment="1">
      <alignment vertical="center"/>
    </xf>
    <xf numFmtId="0" fontId="73" fillId="22" borderId="24" xfId="0" applyFont="1" applyFill="1" applyBorder="1" applyAlignment="1">
      <alignment horizontal="center"/>
    </xf>
    <xf numFmtId="41" fontId="73" fillId="22" borderId="24" xfId="9" applyFont="1" applyFill="1" applyBorder="1" applyAlignment="1">
      <alignment horizontal="center"/>
    </xf>
    <xf numFmtId="0" fontId="69" fillId="22" borderId="24" xfId="0" applyFont="1" applyFill="1" applyBorder="1" applyAlignment="1">
      <alignment horizontal="center"/>
    </xf>
    <xf numFmtId="0" fontId="69" fillId="22" borderId="26" xfId="0" applyFont="1" applyFill="1" applyBorder="1" applyAlignment="1">
      <alignment horizontal="center"/>
    </xf>
    <xf numFmtId="0" fontId="111" fillId="23" borderId="1" xfId="0" applyFont="1" applyFill="1" applyBorder="1" applyAlignment="1">
      <alignment horizontal="center"/>
    </xf>
    <xf numFmtId="0" fontId="86" fillId="23" borderId="0" xfId="0" applyFont="1" applyFill="1" applyAlignment="1">
      <alignment horizontal="center"/>
    </xf>
    <xf numFmtId="0" fontId="98" fillId="8" borderId="34" xfId="0" applyFont="1" applyFill="1" applyBorder="1" applyAlignment="1">
      <alignment horizontal="center"/>
    </xf>
    <xf numFmtId="0" fontId="98" fillId="8" borderId="18" xfId="0" applyFont="1" applyFill="1" applyBorder="1" applyAlignment="1">
      <alignment horizontal="center"/>
    </xf>
    <xf numFmtId="0" fontId="98" fillId="8" borderId="35" xfId="0" applyFont="1" applyFill="1" applyBorder="1" applyAlignment="1">
      <alignment horizontal="center"/>
    </xf>
    <xf numFmtId="41" fontId="0" fillId="23" borderId="0" xfId="9" applyFont="1" applyFill="1"/>
    <xf numFmtId="0" fontId="105" fillId="23" borderId="0" xfId="0" applyFont="1" applyFill="1" applyAlignment="1">
      <alignment horizontal="center"/>
    </xf>
    <xf numFmtId="0" fontId="105" fillId="23" borderId="0" xfId="0" applyFont="1" applyFill="1"/>
    <xf numFmtId="41" fontId="105" fillId="23" borderId="0" xfId="0" applyNumberFormat="1" applyFont="1" applyFill="1"/>
    <xf numFmtId="0" fontId="97" fillId="22" borderId="1" xfId="0" applyFont="1" applyFill="1" applyBorder="1"/>
    <xf numFmtId="0" fontId="97" fillId="22" borderId="1" xfId="0" applyFont="1" applyFill="1" applyBorder="1" applyAlignment="1">
      <alignment horizontal="center"/>
    </xf>
    <xf numFmtId="0" fontId="96" fillId="22" borderId="24" xfId="0" applyFont="1" applyFill="1" applyBorder="1" applyAlignment="1">
      <alignment horizontal="center"/>
    </xf>
    <xf numFmtId="14" fontId="0" fillId="0" borderId="24" xfId="0" applyNumberFormat="1" applyBorder="1" applyAlignment="1">
      <alignment horizontal="center"/>
    </xf>
    <xf numFmtId="41" fontId="0" fillId="0" borderId="36" xfId="0" applyNumberFormat="1" applyBorder="1"/>
    <xf numFmtId="0" fontId="0" fillId="0" borderId="27" xfId="0" applyBorder="1"/>
    <xf numFmtId="0" fontId="66" fillId="16" borderId="1" xfId="0" applyFont="1" applyFill="1" applyBorder="1"/>
    <xf numFmtId="0" fontId="66" fillId="16" borderId="1" xfId="0" applyFont="1" applyFill="1" applyBorder="1" applyAlignment="1">
      <alignment horizontal="center" vertical="center" wrapText="1"/>
    </xf>
    <xf numFmtId="0" fontId="75" fillId="16" borderId="1" xfId="0" applyFont="1" applyFill="1" applyBorder="1"/>
    <xf numFmtId="0" fontId="64" fillId="8" borderId="1" xfId="0" applyFont="1" applyFill="1" applyBorder="1" applyAlignment="1">
      <alignment horizontal="center"/>
    </xf>
    <xf numFmtId="0" fontId="111" fillId="23" borderId="0" xfId="0" applyFont="1" applyFill="1" applyAlignment="1">
      <alignment horizontal="left"/>
    </xf>
    <xf numFmtId="41" fontId="82" fillId="8" borderId="0" xfId="9" applyFont="1" applyFill="1"/>
    <xf numFmtId="0" fontId="82" fillId="8" borderId="0" xfId="0" applyFont="1" applyFill="1"/>
    <xf numFmtId="0" fontId="112" fillId="8" borderId="0" xfId="0" applyFont="1" applyFill="1" applyAlignment="1">
      <alignment horizontal="left" vertical="center"/>
    </xf>
    <xf numFmtId="0" fontId="112" fillId="8" borderId="0" xfId="0" applyFont="1" applyFill="1" applyAlignment="1">
      <alignment horizontal="center" vertical="center"/>
    </xf>
    <xf numFmtId="0" fontId="112" fillId="22" borderId="1" xfId="0" applyFont="1" applyFill="1" applyBorder="1" applyAlignment="1">
      <alignment horizontal="center" vertical="center"/>
    </xf>
    <xf numFmtId="41" fontId="83" fillId="22" borderId="1" xfId="9" applyFont="1" applyFill="1" applyBorder="1" applyAlignment="1">
      <alignment horizontal="center"/>
    </xf>
    <xf numFmtId="0" fontId="83" fillId="22" borderId="1" xfId="0" applyFont="1" applyFill="1" applyBorder="1" applyAlignment="1">
      <alignment horizontal="center"/>
    </xf>
    <xf numFmtId="0" fontId="112" fillId="0" borderId="1" xfId="0" applyFont="1" applyBorder="1" applyAlignment="1">
      <alignment vertical="center"/>
    </xf>
    <xf numFmtId="0" fontId="82" fillId="0" borderId="1" xfId="0" applyFont="1" applyBorder="1" applyAlignment="1">
      <alignment vertical="center"/>
    </xf>
    <xf numFmtId="17" fontId="113" fillId="0" borderId="1" xfId="0" applyNumberFormat="1" applyFont="1" applyBorder="1" applyAlignment="1">
      <alignment horizontal="center" vertical="center"/>
    </xf>
    <xf numFmtId="17" fontId="113" fillId="8" borderId="0" xfId="0" applyNumberFormat="1" applyFont="1" applyFill="1" applyAlignment="1">
      <alignment horizontal="center" vertical="center"/>
    </xf>
    <xf numFmtId="3" fontId="113" fillId="0" borderId="1" xfId="0" applyNumberFormat="1" applyFont="1" applyBorder="1" applyAlignment="1">
      <alignment horizontal="right" vertical="center"/>
    </xf>
    <xf numFmtId="41" fontId="82" fillId="8" borderId="1" xfId="9" applyFont="1" applyFill="1" applyBorder="1"/>
    <xf numFmtId="0" fontId="113" fillId="0" borderId="1" xfId="0" applyFont="1" applyBorder="1" applyAlignment="1">
      <alignment vertical="center"/>
    </xf>
    <xf numFmtId="0" fontId="113" fillId="8" borderId="0" xfId="0" applyFont="1" applyFill="1" applyAlignment="1">
      <alignment vertical="center"/>
    </xf>
    <xf numFmtId="0" fontId="83" fillId="8" borderId="1" xfId="0" applyFont="1" applyFill="1" applyBorder="1" applyAlignment="1">
      <alignment horizontal="center"/>
    </xf>
    <xf numFmtId="41" fontId="83" fillId="8" borderId="1" xfId="9" applyFont="1" applyFill="1" applyBorder="1" applyAlignment="1">
      <alignment horizontal="center"/>
    </xf>
    <xf numFmtId="41" fontId="83" fillId="8" borderId="1" xfId="9" applyFont="1" applyFill="1" applyBorder="1"/>
    <xf numFmtId="0" fontId="82" fillId="8" borderId="1" xfId="0" applyFont="1" applyFill="1" applyBorder="1" applyAlignment="1">
      <alignment horizontal="center"/>
    </xf>
    <xf numFmtId="0" fontId="82" fillId="8" borderId="0" xfId="0" applyFont="1" applyFill="1" applyAlignment="1">
      <alignment horizontal="center"/>
    </xf>
    <xf numFmtId="0" fontId="111" fillId="8" borderId="33" xfId="0" applyFont="1" applyFill="1" applyBorder="1" applyAlignment="1">
      <alignment horizontal="left"/>
    </xf>
    <xf numFmtId="41" fontId="83" fillId="8" borderId="24" xfId="9" applyFont="1" applyFill="1" applyBorder="1" applyAlignment="1">
      <alignment horizontal="center"/>
    </xf>
    <xf numFmtId="41" fontId="114" fillId="8" borderId="24" xfId="9" applyFont="1" applyFill="1" applyBorder="1" applyAlignment="1">
      <alignment horizontal="center"/>
    </xf>
    <xf numFmtId="41" fontId="115" fillId="8" borderId="24" xfId="9" applyFont="1" applyFill="1" applyBorder="1" applyAlignment="1">
      <alignment horizontal="center"/>
    </xf>
    <xf numFmtId="41" fontId="82" fillId="8" borderId="36" xfId="9" applyFont="1" applyFill="1" applyBorder="1"/>
    <xf numFmtId="41" fontId="114" fillId="8" borderId="36" xfId="9" applyFont="1" applyFill="1" applyBorder="1"/>
    <xf numFmtId="41" fontId="115" fillId="8" borderId="36" xfId="9" applyFont="1" applyFill="1" applyBorder="1"/>
    <xf numFmtId="3" fontId="87" fillId="0" borderId="1" xfId="0" applyNumberFormat="1" applyFont="1" applyBorder="1" applyAlignment="1">
      <alignment horizontal="right" vertical="center" wrapText="1"/>
    </xf>
    <xf numFmtId="3" fontId="80" fillId="0" borderId="1" xfId="0" applyNumberFormat="1" applyFont="1" applyBorder="1" applyAlignment="1">
      <alignment horizontal="right" vertical="center" wrapText="1"/>
    </xf>
    <xf numFmtId="3" fontId="85" fillId="8" borderId="15" xfId="0" applyNumberFormat="1" applyFont="1" applyFill="1" applyBorder="1" applyAlignment="1">
      <alignment horizontal="right" vertical="center" wrapText="1"/>
    </xf>
    <xf numFmtId="0" fontId="85" fillId="8" borderId="8" xfId="0" applyFont="1" applyFill="1" applyBorder="1" applyAlignment="1">
      <alignment horizontal="right" vertical="center" wrapText="1"/>
    </xf>
    <xf numFmtId="3" fontId="72" fillId="14" borderId="15" xfId="0" applyNumberFormat="1" applyFont="1" applyFill="1" applyBorder="1" applyAlignment="1">
      <alignment horizontal="right" vertical="center" wrapText="1"/>
    </xf>
    <xf numFmtId="0" fontId="85" fillId="8" borderId="11" xfId="0" applyFont="1" applyFill="1" applyBorder="1" applyAlignment="1">
      <alignment horizontal="right" vertical="center" wrapText="1"/>
    </xf>
    <xf numFmtId="41" fontId="64" fillId="8" borderId="0" xfId="0" applyNumberFormat="1" applyFont="1" applyFill="1"/>
    <xf numFmtId="0" fontId="64" fillId="8" borderId="27" xfId="0" applyFont="1" applyFill="1" applyBorder="1"/>
    <xf numFmtId="0" fontId="64" fillId="6" borderId="27" xfId="0" applyFont="1" applyFill="1" applyBorder="1"/>
    <xf numFmtId="0" fontId="64" fillId="6" borderId="28" xfId="0" applyFont="1" applyFill="1" applyBorder="1" applyAlignment="1">
      <alignment horizontal="center"/>
    </xf>
    <xf numFmtId="0" fontId="64" fillId="6" borderId="36" xfId="0" applyFont="1" applyFill="1" applyBorder="1"/>
    <xf numFmtId="165" fontId="2" fillId="7" borderId="0" xfId="0" applyNumberFormat="1" applyFont="1" applyFill="1"/>
    <xf numFmtId="0" fontId="69" fillId="8" borderId="21" xfId="0" applyFont="1" applyFill="1" applyBorder="1"/>
    <xf numFmtId="41" fontId="2" fillId="8" borderId="0" xfId="9" applyFont="1" applyFill="1"/>
    <xf numFmtId="0" fontId="69" fillId="8" borderId="26" xfId="0" applyFont="1" applyFill="1" applyBorder="1" applyAlignment="1">
      <alignment horizontal="center"/>
    </xf>
    <xf numFmtId="0" fontId="69" fillId="8" borderId="21" xfId="0" applyFont="1" applyFill="1" applyBorder="1" applyAlignment="1">
      <alignment horizontal="left"/>
    </xf>
    <xf numFmtId="0" fontId="89" fillId="24" borderId="24" xfId="0" applyFont="1" applyFill="1" applyBorder="1" applyAlignment="1">
      <alignment horizontal="center"/>
    </xf>
    <xf numFmtId="41" fontId="89" fillId="24" borderId="24" xfId="9" applyFont="1" applyFill="1" applyBorder="1" applyAlignment="1">
      <alignment horizontal="center"/>
    </xf>
    <xf numFmtId="41" fontId="69" fillId="8" borderId="0" xfId="9" applyFont="1" applyFill="1" applyAlignment="1">
      <alignment horizontal="right"/>
    </xf>
    <xf numFmtId="0" fontId="69" fillId="25" borderId="21" xfId="0" applyFont="1" applyFill="1" applyBorder="1" applyAlignment="1">
      <alignment horizontal="left"/>
    </xf>
    <xf numFmtId="0" fontId="69" fillId="25" borderId="26" xfId="0" applyFont="1" applyFill="1" applyBorder="1" applyAlignment="1">
      <alignment horizontal="right"/>
    </xf>
    <xf numFmtId="0" fontId="69" fillId="8" borderId="26" xfId="0" applyFont="1" applyFill="1" applyBorder="1" applyAlignment="1">
      <alignment horizontal="right"/>
    </xf>
    <xf numFmtId="0" fontId="70" fillId="8" borderId="0" xfId="0" applyFont="1" applyFill="1" applyAlignment="1">
      <alignment horizontal="center"/>
    </xf>
    <xf numFmtId="174" fontId="70" fillId="8" borderId="0" xfId="0" applyNumberFormat="1" applyFont="1" applyFill="1" applyAlignment="1">
      <alignment horizontal="center"/>
    </xf>
    <xf numFmtId="0" fontId="81" fillId="8" borderId="0" xfId="0" applyFont="1" applyFill="1"/>
    <xf numFmtId="0" fontId="69" fillId="26" borderId="29" xfId="0" applyFont="1" applyFill="1" applyBorder="1"/>
    <xf numFmtId="0" fontId="69" fillId="26" borderId="30" xfId="0" applyFont="1" applyFill="1" applyBorder="1"/>
    <xf numFmtId="0" fontId="69" fillId="26" borderId="31" xfId="0" applyFont="1" applyFill="1" applyBorder="1"/>
    <xf numFmtId="41" fontId="69" fillId="26" borderId="32" xfId="9" applyFont="1" applyFill="1" applyBorder="1" applyAlignment="1">
      <alignment horizontal="center"/>
    </xf>
    <xf numFmtId="0" fontId="69" fillId="26" borderId="0" xfId="0" applyFont="1" applyFill="1" applyAlignment="1">
      <alignment horizontal="center"/>
    </xf>
    <xf numFmtId="0" fontId="69" fillId="26" borderId="33" xfId="0" applyFont="1" applyFill="1" applyBorder="1" applyAlignment="1">
      <alignment horizontal="center"/>
    </xf>
    <xf numFmtId="41" fontId="69" fillId="6" borderId="0" xfId="0" applyNumberFormat="1" applyFont="1" applyFill="1" applyAlignment="1">
      <alignment horizontal="center"/>
    </xf>
    <xf numFmtId="171" fontId="69" fillId="8" borderId="0" xfId="9" applyNumberFormat="1" applyFont="1" applyFill="1" applyBorder="1" applyAlignment="1">
      <alignment horizontal="center"/>
    </xf>
    <xf numFmtId="0" fontId="69" fillId="26" borderId="34" xfId="0" applyFont="1" applyFill="1" applyBorder="1" applyAlignment="1">
      <alignment horizontal="center"/>
    </xf>
    <xf numFmtId="41" fontId="69" fillId="6" borderId="18" xfId="9" applyFont="1" applyFill="1" applyBorder="1"/>
    <xf numFmtId="0" fontId="69" fillId="26" borderId="35" xfId="0" applyFont="1" applyFill="1" applyBorder="1"/>
    <xf numFmtId="0" fontId="86" fillId="14" borderId="24" xfId="0" applyFont="1" applyFill="1" applyBorder="1" applyAlignment="1">
      <alignment horizontal="center"/>
    </xf>
    <xf numFmtId="0" fontId="69" fillId="26" borderId="0" xfId="0" applyFont="1" applyFill="1"/>
    <xf numFmtId="171" fontId="69" fillId="26" borderId="0" xfId="9" applyNumberFormat="1" applyFont="1" applyFill="1" applyBorder="1"/>
    <xf numFmtId="41" fontId="69" fillId="8" borderId="0" xfId="0" applyNumberFormat="1" applyFont="1" applyFill="1" applyAlignment="1">
      <alignment horizontal="center"/>
    </xf>
    <xf numFmtId="174" fontId="69" fillId="8" borderId="50" xfId="0" applyNumberFormat="1" applyFont="1" applyFill="1" applyBorder="1" applyAlignment="1">
      <alignment horizontal="center"/>
    </xf>
    <xf numFmtId="171" fontId="69" fillId="26" borderId="0" xfId="9" applyNumberFormat="1" applyFont="1" applyFill="1" applyBorder="1" applyAlignment="1">
      <alignment horizontal="center"/>
    </xf>
    <xf numFmtId="174" fontId="69" fillId="8" borderId="0" xfId="0" applyNumberFormat="1" applyFont="1" applyFill="1" applyAlignment="1">
      <alignment horizontal="center"/>
    </xf>
    <xf numFmtId="0" fontId="73" fillId="6" borderId="21" xfId="0" applyFont="1" applyFill="1" applyBorder="1" applyAlignment="1">
      <alignment horizontal="center"/>
    </xf>
    <xf numFmtId="0" fontId="73" fillId="6" borderId="25" xfId="0" applyFont="1" applyFill="1" applyBorder="1" applyAlignment="1">
      <alignment horizontal="center"/>
    </xf>
    <xf numFmtId="41" fontId="73" fillId="6" borderId="26" xfId="0" applyNumberFormat="1" applyFont="1" applyFill="1" applyBorder="1" applyAlignment="1">
      <alignment horizontal="center"/>
    </xf>
    <xf numFmtId="0" fontId="69" fillId="26" borderId="24" xfId="0" applyFont="1" applyFill="1" applyBorder="1" applyAlignment="1">
      <alignment horizontal="center"/>
    </xf>
    <xf numFmtId="0" fontId="73" fillId="8" borderId="1" xfId="0" applyFont="1" applyFill="1" applyBorder="1"/>
    <xf numFmtId="41" fontId="73" fillId="8" borderId="1" xfId="9" applyFont="1" applyFill="1" applyBorder="1"/>
    <xf numFmtId="41" fontId="71" fillId="8" borderId="1" xfId="9" applyFont="1" applyFill="1" applyBorder="1"/>
    <xf numFmtId="41" fontId="72" fillId="8" borderId="0" xfId="9" applyFont="1" applyFill="1" applyBorder="1"/>
    <xf numFmtId="171" fontId="73" fillId="8" borderId="0" xfId="9" applyNumberFormat="1" applyFont="1" applyFill="1" applyBorder="1"/>
    <xf numFmtId="41" fontId="69" fillId="6" borderId="0" xfId="9" applyFont="1" applyFill="1" applyBorder="1"/>
    <xf numFmtId="0" fontId="97" fillId="8" borderId="0" xfId="0" applyFont="1" applyFill="1"/>
    <xf numFmtId="0" fontId="96" fillId="8" borderId="1" xfId="0" applyFont="1" applyFill="1" applyBorder="1"/>
    <xf numFmtId="0" fontId="97" fillId="8" borderId="1" xfId="0" applyFont="1" applyFill="1" applyBorder="1"/>
    <xf numFmtId="41" fontId="96" fillId="8" borderId="10" xfId="9" applyFont="1" applyFill="1" applyBorder="1"/>
    <xf numFmtId="0" fontId="82" fillId="19" borderId="63" xfId="0" applyFont="1" applyFill="1" applyBorder="1"/>
    <xf numFmtId="0" fontId="82" fillId="19" borderId="64" xfId="0" applyFont="1" applyFill="1" applyBorder="1"/>
    <xf numFmtId="0" fontId="82" fillId="19" borderId="65" xfId="0" applyFont="1" applyFill="1" applyBorder="1"/>
    <xf numFmtId="172" fontId="96" fillId="8" borderId="1" xfId="9" applyNumberFormat="1" applyFont="1" applyFill="1" applyBorder="1"/>
    <xf numFmtId="41" fontId="96" fillId="8" borderId="24" xfId="0" applyNumberFormat="1" applyFont="1" applyFill="1" applyBorder="1"/>
    <xf numFmtId="41" fontId="96" fillId="8" borderId="13" xfId="9" applyFont="1" applyFill="1" applyBorder="1"/>
    <xf numFmtId="0" fontId="87" fillId="0" borderId="1" xfId="0" applyFont="1" applyBorder="1" applyAlignment="1">
      <alignment vertical="center" wrapText="1"/>
    </xf>
    <xf numFmtId="0" fontId="80" fillId="0" borderId="1" xfId="0" applyFont="1" applyBorder="1" applyAlignment="1">
      <alignment vertical="center" wrapText="1"/>
    </xf>
    <xf numFmtId="0" fontId="80" fillId="0" borderId="1" xfId="0" applyFont="1" applyBorder="1" applyAlignment="1">
      <alignment horizontal="center" vertical="center" wrapText="1"/>
    </xf>
    <xf numFmtId="41" fontId="80" fillId="0" borderId="1" xfId="9" applyFont="1" applyBorder="1" applyAlignment="1">
      <alignment horizontal="right" vertical="center" wrapText="1"/>
    </xf>
    <xf numFmtId="0" fontId="80" fillId="0" borderId="1" xfId="0" applyFont="1" applyBorder="1" applyAlignment="1">
      <alignment horizontal="right" vertical="center" wrapText="1"/>
    </xf>
    <xf numFmtId="0" fontId="80" fillId="8" borderId="1" xfId="0" applyFont="1" applyFill="1" applyBorder="1"/>
    <xf numFmtId="41" fontId="80" fillId="8" borderId="1" xfId="9" applyFont="1" applyFill="1" applyBorder="1"/>
    <xf numFmtId="0" fontId="87" fillId="0" borderId="1" xfId="0" applyFont="1" applyBorder="1" applyAlignment="1">
      <alignment horizontal="right" vertical="center" wrapText="1"/>
    </xf>
    <xf numFmtId="0" fontId="87" fillId="8" borderId="1" xfId="0" applyFont="1" applyFill="1" applyBorder="1" applyAlignment="1">
      <alignment horizontal="right" vertical="center" wrapText="1"/>
    </xf>
    <xf numFmtId="0" fontId="80" fillId="8" borderId="1" xfId="0" applyFont="1" applyFill="1" applyBorder="1" applyAlignment="1">
      <alignment vertical="center" wrapText="1"/>
    </xf>
    <xf numFmtId="0" fontId="87" fillId="8" borderId="0" xfId="0" applyFont="1" applyFill="1"/>
    <xf numFmtId="0" fontId="80" fillId="8" borderId="13" xfId="0" applyFont="1" applyFill="1" applyBorder="1"/>
    <xf numFmtId="0" fontId="80" fillId="8" borderId="15" xfId="0" applyFont="1" applyFill="1" applyBorder="1"/>
    <xf numFmtId="0" fontId="80" fillId="8" borderId="10" xfId="0" applyFont="1" applyFill="1" applyBorder="1" applyAlignment="1">
      <alignment horizontal="left"/>
    </xf>
    <xf numFmtId="0" fontId="80" fillId="8" borderId="11" xfId="0" applyFont="1" applyFill="1" applyBorder="1" applyAlignment="1">
      <alignment horizontal="left"/>
    </xf>
    <xf numFmtId="0" fontId="80" fillId="8" borderId="12" xfId="0" applyFont="1" applyFill="1" applyBorder="1" applyAlignment="1">
      <alignment horizontal="left"/>
    </xf>
    <xf numFmtId="0" fontId="80" fillId="8" borderId="10" xfId="0" applyFont="1" applyFill="1" applyBorder="1"/>
    <xf numFmtId="0" fontId="80" fillId="8" borderId="11" xfId="0" applyFont="1" applyFill="1" applyBorder="1"/>
    <xf numFmtId="0" fontId="80" fillId="8" borderId="12" xfId="0" applyFont="1" applyFill="1" applyBorder="1"/>
    <xf numFmtId="0" fontId="87" fillId="7" borderId="1" xfId="0" applyFont="1" applyFill="1" applyBorder="1" applyAlignment="1">
      <alignment horizontal="center" vertical="center" wrapText="1"/>
    </xf>
    <xf numFmtId="3" fontId="87" fillId="7" borderId="1" xfId="0" applyNumberFormat="1" applyFont="1" applyFill="1" applyBorder="1" applyAlignment="1">
      <alignment horizontal="center" vertical="center" wrapText="1"/>
    </xf>
    <xf numFmtId="3" fontId="87" fillId="7" borderId="1" xfId="0" applyNumberFormat="1" applyFont="1" applyFill="1" applyBorder="1" applyAlignment="1">
      <alignment horizontal="right" vertical="center" wrapText="1"/>
    </xf>
    <xf numFmtId="0" fontId="87" fillId="7" borderId="21" xfId="0" applyFont="1" applyFill="1" applyBorder="1" applyAlignment="1">
      <alignment horizontal="left"/>
    </xf>
    <xf numFmtId="0" fontId="87" fillId="7" borderId="25" xfId="0" applyFont="1" applyFill="1" applyBorder="1" applyAlignment="1">
      <alignment horizontal="left"/>
    </xf>
    <xf numFmtId="0" fontId="87" fillId="7" borderId="26" xfId="0" applyFont="1" applyFill="1" applyBorder="1" applyAlignment="1">
      <alignment horizontal="left"/>
    </xf>
    <xf numFmtId="0" fontId="107" fillId="23" borderId="30" xfId="0" applyFont="1" applyFill="1" applyBorder="1" applyAlignment="1">
      <alignment horizontal="center"/>
    </xf>
    <xf numFmtId="14" fontId="107" fillId="23" borderId="58" xfId="0" applyNumberFormat="1" applyFont="1" applyFill="1" applyBorder="1" applyAlignment="1">
      <alignment horizontal="center"/>
    </xf>
    <xf numFmtId="14" fontId="107" fillId="23" borderId="67" xfId="0" applyNumberFormat="1" applyFont="1" applyFill="1" applyBorder="1" applyAlignment="1">
      <alignment horizontal="center"/>
    </xf>
    <xf numFmtId="0" fontId="107" fillId="23" borderId="60" xfId="0" applyFont="1" applyFill="1" applyBorder="1" applyAlignment="1">
      <alignment horizontal="center"/>
    </xf>
    <xf numFmtId="0" fontId="2" fillId="8" borderId="61" xfId="0" applyFont="1" applyFill="1" applyBorder="1"/>
    <xf numFmtId="0" fontId="1" fillId="8" borderId="62" xfId="0" applyFont="1" applyFill="1" applyBorder="1" applyAlignment="1">
      <alignment horizontal="center"/>
    </xf>
    <xf numFmtId="0" fontId="2" fillId="8" borderId="62" xfId="0" applyFont="1" applyFill="1" applyBorder="1"/>
    <xf numFmtId="165" fontId="2" fillId="8" borderId="62" xfId="0" applyNumberFormat="1" applyFont="1" applyFill="1" applyBorder="1" applyProtection="1">
      <protection locked="0"/>
    </xf>
    <xf numFmtId="0" fontId="14" fillId="8" borderId="0" xfId="1" applyFont="1" applyFill="1" applyBorder="1" applyAlignment="1" applyProtection="1"/>
    <xf numFmtId="0" fontId="2" fillId="0" borderId="61" xfId="0" applyFont="1" applyBorder="1"/>
    <xf numFmtId="0" fontId="14" fillId="0" borderId="0" xfId="1" applyFont="1" applyFill="1" applyBorder="1" applyAlignment="1" applyProtection="1"/>
    <xf numFmtId="165" fontId="2" fillId="0" borderId="62" xfId="0" applyNumberFormat="1" applyFont="1" applyBorder="1" applyProtection="1">
      <protection locked="0"/>
    </xf>
    <xf numFmtId="0" fontId="1" fillId="8" borderId="61" xfId="0" applyFont="1" applyFill="1" applyBorder="1"/>
    <xf numFmtId="165" fontId="107" fillId="23" borderId="42" xfId="0" applyNumberFormat="1" applyFont="1" applyFill="1" applyBorder="1" applyAlignment="1">
      <alignment vertical="center"/>
    </xf>
    <xf numFmtId="165" fontId="2" fillId="8" borderId="62" xfId="0" applyNumberFormat="1" applyFont="1" applyFill="1" applyBorder="1"/>
    <xf numFmtId="165" fontId="2" fillId="8" borderId="62" xfId="0" applyNumberFormat="1" applyFont="1" applyFill="1" applyBorder="1" applyAlignment="1" applyProtection="1">
      <alignment vertical="center"/>
      <protection locked="0"/>
    </xf>
    <xf numFmtId="165" fontId="1" fillId="8" borderId="60" xfId="0" applyNumberFormat="1" applyFont="1" applyFill="1" applyBorder="1"/>
    <xf numFmtId="0" fontId="2" fillId="8" borderId="68" xfId="0" applyFont="1" applyFill="1" applyBorder="1"/>
    <xf numFmtId="0" fontId="107" fillId="23" borderId="16" xfId="0" applyFont="1" applyFill="1" applyBorder="1"/>
    <xf numFmtId="165" fontId="107" fillId="23" borderId="44" xfId="0" applyNumberFormat="1" applyFont="1" applyFill="1" applyBorder="1"/>
    <xf numFmtId="165" fontId="107" fillId="23" borderId="45" xfId="0" applyNumberFormat="1" applyFont="1" applyFill="1" applyBorder="1"/>
    <xf numFmtId="0" fontId="61" fillId="8" borderId="0" xfId="0" applyFont="1" applyFill="1" applyAlignment="1">
      <alignment vertical="center"/>
    </xf>
    <xf numFmtId="0" fontId="61" fillId="8" borderId="32" xfId="0" applyFont="1" applyFill="1" applyBorder="1" applyAlignment="1">
      <alignment vertical="center"/>
    </xf>
    <xf numFmtId="0" fontId="60" fillId="7" borderId="21" xfId="0" applyFont="1" applyFill="1" applyBorder="1"/>
    <xf numFmtId="0" fontId="60" fillId="7" borderId="34" xfId="0" applyFont="1" applyFill="1" applyBorder="1"/>
    <xf numFmtId="3" fontId="67" fillId="8" borderId="48" xfId="0" applyNumberFormat="1" applyFont="1" applyFill="1" applyBorder="1" applyAlignment="1">
      <alignment vertical="center" wrapText="1"/>
    </xf>
    <xf numFmtId="0" fontId="67" fillId="8" borderId="49" xfId="0" applyFont="1" applyFill="1" applyBorder="1" applyAlignment="1">
      <alignment vertical="center" wrapText="1"/>
    </xf>
    <xf numFmtId="0" fontId="62" fillId="8" borderId="46" xfId="0" applyFont="1" applyFill="1" applyBorder="1" applyAlignment="1">
      <alignment vertical="center" wrapText="1"/>
    </xf>
    <xf numFmtId="0" fontId="62" fillId="8" borderId="47" xfId="0" applyFont="1" applyFill="1" applyBorder="1" applyAlignment="1">
      <alignment vertical="center" wrapText="1"/>
    </xf>
    <xf numFmtId="3" fontId="67" fillId="8" borderId="49" xfId="0" applyNumberFormat="1" applyFont="1" applyFill="1" applyBorder="1" applyAlignment="1">
      <alignment vertical="center" wrapText="1"/>
    </xf>
    <xf numFmtId="0" fontId="67" fillId="8" borderId="27" xfId="0" applyFont="1" applyFill="1" applyBorder="1" applyAlignment="1">
      <alignment vertical="center" wrapText="1"/>
    </xf>
    <xf numFmtId="3" fontId="67" fillId="8" borderId="27" xfId="0" applyNumberFormat="1" applyFont="1" applyFill="1" applyBorder="1" applyAlignment="1">
      <alignment vertical="center" wrapText="1"/>
    </xf>
    <xf numFmtId="3" fontId="67" fillId="8" borderId="31" xfId="0" applyNumberFormat="1" applyFont="1" applyFill="1" applyBorder="1" applyAlignment="1">
      <alignment vertical="center" wrapText="1"/>
    </xf>
    <xf numFmtId="0" fontId="62" fillId="15" borderId="36" xfId="0" applyFont="1" applyFill="1" applyBorder="1" applyAlignment="1">
      <alignment vertical="center" wrapText="1"/>
    </xf>
    <xf numFmtId="3" fontId="62" fillId="15" borderId="55" xfId="0" applyNumberFormat="1" applyFont="1" applyFill="1" applyBorder="1" applyAlignment="1">
      <alignment vertical="center" wrapText="1"/>
    </xf>
    <xf numFmtId="3" fontId="62" fillId="15" borderId="56" xfId="0" applyNumberFormat="1" applyFont="1" applyFill="1" applyBorder="1" applyAlignment="1">
      <alignment vertical="center" wrapText="1"/>
    </xf>
    <xf numFmtId="3" fontId="62" fillId="8" borderId="28" xfId="0" applyNumberFormat="1" applyFont="1" applyFill="1" applyBorder="1" applyAlignment="1">
      <alignment vertical="center" wrapText="1"/>
    </xf>
    <xf numFmtId="3" fontId="62" fillId="8" borderId="33" xfId="0" applyNumberFormat="1" applyFont="1" applyFill="1" applyBorder="1" applyAlignment="1">
      <alignment vertical="center" wrapText="1"/>
    </xf>
    <xf numFmtId="0" fontId="102" fillId="8" borderId="0" xfId="0" applyFont="1" applyFill="1"/>
    <xf numFmtId="0" fontId="116" fillId="8" borderId="0" xfId="0" applyFont="1" applyFill="1"/>
    <xf numFmtId="0" fontId="67" fillId="7" borderId="28" xfId="0" applyFont="1" applyFill="1" applyBorder="1" applyAlignment="1">
      <alignment vertical="center" wrapText="1"/>
    </xf>
    <xf numFmtId="0" fontId="62" fillId="15" borderId="24" xfId="0" applyFont="1" applyFill="1" applyBorder="1" applyAlignment="1">
      <alignment vertical="center" wrapText="1"/>
    </xf>
    <xf numFmtId="3" fontId="62" fillId="15" borderId="24" xfId="0" applyNumberFormat="1" applyFont="1" applyFill="1" applyBorder="1" applyAlignment="1">
      <alignment vertical="center" wrapText="1"/>
    </xf>
    <xf numFmtId="3" fontId="62" fillId="15" borderId="26" xfId="0" applyNumberFormat="1" applyFont="1" applyFill="1" applyBorder="1" applyAlignment="1">
      <alignment vertical="center" wrapText="1"/>
    </xf>
    <xf numFmtId="0" fontId="64" fillId="8" borderId="35" xfId="0" applyFont="1" applyFill="1" applyBorder="1"/>
    <xf numFmtId="3" fontId="64" fillId="6" borderId="27" xfId="0" applyNumberFormat="1" applyFont="1" applyFill="1" applyBorder="1"/>
    <xf numFmtId="3" fontId="67" fillId="6" borderId="24" xfId="0" applyNumberFormat="1" applyFont="1" applyFill="1" applyBorder="1" applyAlignment="1">
      <alignment vertical="center" wrapText="1"/>
    </xf>
    <xf numFmtId="3" fontId="64" fillId="8" borderId="28" xfId="0" applyNumberFormat="1" applyFont="1" applyFill="1" applyBorder="1"/>
    <xf numFmtId="3" fontId="67" fillId="8" borderId="36" xfId="0" applyNumberFormat="1" applyFont="1" applyFill="1" applyBorder="1" applyAlignment="1">
      <alignment horizontal="right" vertical="center" wrapText="1"/>
    </xf>
    <xf numFmtId="0" fontId="66" fillId="23" borderId="36" xfId="0" applyFont="1" applyFill="1" applyBorder="1" applyAlignment="1">
      <alignment vertical="center" wrapText="1"/>
    </xf>
    <xf numFmtId="3" fontId="66" fillId="23" borderId="36" xfId="0" applyNumberFormat="1" applyFont="1" applyFill="1" applyBorder="1" applyAlignment="1">
      <alignment horizontal="right" vertical="center" wrapText="1"/>
    </xf>
    <xf numFmtId="41" fontId="66" fillId="23" borderId="36" xfId="9" applyFont="1" applyFill="1" applyBorder="1" applyAlignment="1">
      <alignment vertical="center" wrapText="1"/>
    </xf>
    <xf numFmtId="3" fontId="67" fillId="7" borderId="36" xfId="0" applyNumberFormat="1" applyFont="1" applyFill="1" applyBorder="1" applyAlignment="1">
      <alignment horizontal="right" vertical="center" wrapText="1"/>
    </xf>
    <xf numFmtId="0" fontId="64" fillId="7" borderId="28" xfId="0" applyFont="1" applyFill="1" applyBorder="1" applyAlignment="1">
      <alignment vertical="center" wrapText="1"/>
    </xf>
    <xf numFmtId="3" fontId="64" fillId="7" borderId="28" xfId="0" applyNumberFormat="1" applyFont="1" applyFill="1" applyBorder="1"/>
    <xf numFmtId="0" fontId="66" fillId="23" borderId="28" xfId="0" applyFont="1" applyFill="1" applyBorder="1" applyAlignment="1">
      <alignment vertical="center" wrapText="1"/>
    </xf>
    <xf numFmtId="3" fontId="66" fillId="23" borderId="28" xfId="0" applyNumberFormat="1" applyFont="1" applyFill="1" applyBorder="1" applyAlignment="1">
      <alignment vertical="center" wrapText="1"/>
    </xf>
    <xf numFmtId="3" fontId="66" fillId="23" borderId="36" xfId="0" applyNumberFormat="1" applyFont="1" applyFill="1" applyBorder="1" applyAlignment="1">
      <alignment vertical="center" wrapText="1"/>
    </xf>
    <xf numFmtId="41" fontId="64" fillId="16" borderId="28" xfId="9" applyFont="1" applyFill="1" applyBorder="1" applyAlignment="1">
      <alignment horizontal="center"/>
    </xf>
    <xf numFmtId="3" fontId="62" fillId="15" borderId="36" xfId="0" applyNumberFormat="1" applyFont="1" applyFill="1" applyBorder="1" applyAlignment="1">
      <alignment vertical="center" wrapText="1"/>
    </xf>
    <xf numFmtId="41" fontId="64" fillId="6" borderId="27" xfId="9" applyFont="1" applyFill="1" applyBorder="1"/>
    <xf numFmtId="0" fontId="67" fillId="6" borderId="27" xfId="0" applyFont="1" applyFill="1" applyBorder="1" applyAlignment="1">
      <alignment vertical="center" wrapText="1"/>
    </xf>
    <xf numFmtId="3" fontId="67" fillId="6" borderId="27" xfId="0" applyNumberFormat="1" applyFont="1" applyFill="1" applyBorder="1" applyAlignment="1">
      <alignment vertical="center" wrapText="1"/>
    </xf>
    <xf numFmtId="0" fontId="67" fillId="6" borderId="24" xfId="0" applyFont="1" applyFill="1" applyBorder="1" applyAlignment="1">
      <alignment vertical="center" wrapText="1"/>
    </xf>
    <xf numFmtId="41" fontId="64" fillId="6" borderId="24" xfId="9" applyFont="1" applyFill="1" applyBorder="1"/>
    <xf numFmtId="0" fontId="67" fillId="22" borderId="24" xfId="0" applyFont="1" applyFill="1" applyBorder="1" applyAlignment="1">
      <alignment vertical="center" wrapText="1"/>
    </xf>
    <xf numFmtId="3" fontId="67" fillId="22" borderId="24" xfId="0" applyNumberFormat="1" applyFont="1" applyFill="1" applyBorder="1" applyAlignment="1">
      <alignment vertical="center" wrapText="1"/>
    </xf>
    <xf numFmtId="41" fontId="64" fillId="22" borderId="24" xfId="9" applyFont="1" applyFill="1" applyBorder="1"/>
    <xf numFmtId="0" fontId="80" fillId="8" borderId="36" xfId="0" applyFont="1" applyFill="1" applyBorder="1"/>
    <xf numFmtId="0" fontId="80" fillId="8" borderId="34" xfId="0" applyFont="1" applyFill="1" applyBorder="1"/>
    <xf numFmtId="0" fontId="80" fillId="8" borderId="18" xfId="0" applyFont="1" applyFill="1" applyBorder="1"/>
    <xf numFmtId="0" fontId="87" fillId="7" borderId="27" xfId="0" applyFont="1" applyFill="1" applyBorder="1" applyAlignment="1">
      <alignment horizontal="center" vertical="center" wrapText="1"/>
    </xf>
    <xf numFmtId="0" fontId="87" fillId="7" borderId="36" xfId="0" applyFont="1" applyFill="1" applyBorder="1" applyAlignment="1">
      <alignment horizontal="center" vertical="center" wrapText="1"/>
    </xf>
    <xf numFmtId="0" fontId="87" fillId="7" borderId="27" xfId="0" applyFont="1" applyFill="1" applyBorder="1" applyAlignment="1">
      <alignment horizontal="center" vertical="center"/>
    </xf>
    <xf numFmtId="0" fontId="87" fillId="7" borderId="36" xfId="0" applyFont="1" applyFill="1" applyBorder="1" applyAlignment="1">
      <alignment horizontal="center" vertical="center"/>
    </xf>
    <xf numFmtId="0" fontId="80" fillId="8" borderId="14" xfId="0" applyFont="1" applyFill="1" applyBorder="1"/>
    <xf numFmtId="0" fontId="82" fillId="8" borderId="0" xfId="0" applyFont="1" applyFill="1" applyAlignment="1">
      <alignment horizontal="left" vertical="center" wrapText="1"/>
    </xf>
    <xf numFmtId="41" fontId="66" fillId="14" borderId="27" xfId="9" applyFont="1" applyFill="1" applyBorder="1" applyAlignment="1">
      <alignment horizontal="center"/>
    </xf>
    <xf numFmtId="0" fontId="75" fillId="23" borderId="27" xfId="0" applyFont="1" applyFill="1" applyBorder="1" applyAlignment="1">
      <alignment horizontal="center" vertical="center" wrapText="1"/>
    </xf>
    <xf numFmtId="0" fontId="82" fillId="8" borderId="0" xfId="0" applyFont="1" applyFill="1" applyAlignment="1">
      <alignment vertical="center" wrapText="1"/>
    </xf>
    <xf numFmtId="0" fontId="82" fillId="8" borderId="0" xfId="0" applyFont="1" applyFill="1" applyAlignment="1">
      <alignment horizontal="center" vertical="center" wrapText="1"/>
    </xf>
    <xf numFmtId="0" fontId="82" fillId="8" borderId="33" xfId="0" applyFont="1" applyFill="1" applyBorder="1" applyAlignment="1">
      <alignment horizontal="center" vertical="center" wrapText="1"/>
    </xf>
    <xf numFmtId="0" fontId="83" fillId="8" borderId="31" xfId="0" applyFont="1" applyFill="1" applyBorder="1" applyAlignment="1">
      <alignment horizontal="center" vertical="center" wrapText="1"/>
    </xf>
    <xf numFmtId="0" fontId="82" fillId="8" borderId="35" xfId="0" applyFont="1" applyFill="1" applyBorder="1" applyAlignment="1">
      <alignment horizontal="center" vertical="center" wrapText="1"/>
    </xf>
    <xf numFmtId="0" fontId="83" fillId="8" borderId="35" xfId="0" applyFont="1" applyFill="1" applyBorder="1" applyAlignment="1">
      <alignment horizontal="center" vertical="center" wrapText="1"/>
    </xf>
    <xf numFmtId="0" fontId="83" fillId="8" borderId="28" xfId="0" applyFont="1" applyFill="1" applyBorder="1" applyAlignment="1">
      <alignment vertical="center" wrapText="1"/>
    </xf>
    <xf numFmtId="0" fontId="83" fillId="8" borderId="33" xfId="0" applyFont="1" applyFill="1" applyBorder="1" applyAlignment="1">
      <alignment vertical="center" wrapText="1"/>
    </xf>
    <xf numFmtId="0" fontId="82" fillId="8" borderId="33" xfId="0" applyFont="1" applyFill="1" applyBorder="1" applyAlignment="1">
      <alignment vertical="center" wrapText="1"/>
    </xf>
    <xf numFmtId="0" fontId="83" fillId="8" borderId="35" xfId="0" applyFont="1" applyFill="1" applyBorder="1" applyAlignment="1">
      <alignment vertical="center" wrapText="1"/>
    </xf>
    <xf numFmtId="0" fontId="82" fillId="8" borderId="35" xfId="0" applyFont="1" applyFill="1" applyBorder="1" applyAlignment="1">
      <alignment vertical="center" wrapText="1"/>
    </xf>
    <xf numFmtId="41" fontId="82" fillId="8" borderId="0" xfId="9" applyFont="1" applyFill="1" applyAlignment="1">
      <alignment horizontal="center"/>
    </xf>
    <xf numFmtId="0" fontId="82" fillId="8" borderId="32" xfId="0" applyFont="1" applyFill="1" applyBorder="1"/>
    <xf numFmtId="41" fontId="82" fillId="8" borderId="0" xfId="9" applyFont="1" applyFill="1" applyBorder="1" applyAlignment="1">
      <alignment horizontal="center"/>
    </xf>
    <xf numFmtId="0" fontId="82" fillId="8" borderId="33" xfId="0" applyFont="1" applyFill="1" applyBorder="1"/>
    <xf numFmtId="0" fontId="82" fillId="8" borderId="34" xfId="0" applyFont="1" applyFill="1" applyBorder="1"/>
    <xf numFmtId="41" fontId="82" fillId="8" borderId="18" xfId="9" applyFont="1" applyFill="1" applyBorder="1" applyAlignment="1">
      <alignment horizontal="center"/>
    </xf>
    <xf numFmtId="0" fontId="82" fillId="8" borderId="18" xfId="0" applyFont="1" applyFill="1" applyBorder="1" applyAlignment="1">
      <alignment horizontal="center"/>
    </xf>
    <xf numFmtId="0" fontId="82" fillId="8" borderId="35" xfId="0" applyFont="1" applyFill="1" applyBorder="1"/>
    <xf numFmtId="0" fontId="98" fillId="8" borderId="38" xfId="0" applyFont="1" applyFill="1" applyBorder="1"/>
    <xf numFmtId="41" fontId="98" fillId="8" borderId="39" xfId="9" applyFont="1" applyFill="1" applyBorder="1" applyAlignment="1">
      <alignment horizontal="center"/>
    </xf>
    <xf numFmtId="10" fontId="98" fillId="8" borderId="39" xfId="9" applyNumberFormat="1" applyFont="1" applyFill="1" applyBorder="1" applyAlignment="1">
      <alignment horizontal="center"/>
    </xf>
    <xf numFmtId="41" fontId="98" fillId="8" borderId="0" xfId="9" applyFont="1" applyFill="1" applyAlignment="1">
      <alignment horizontal="center"/>
    </xf>
    <xf numFmtId="0" fontId="105" fillId="23" borderId="40" xfId="0" applyFont="1" applyFill="1" applyBorder="1"/>
    <xf numFmtId="41" fontId="105" fillId="23" borderId="23" xfId="9" applyFont="1" applyFill="1" applyBorder="1" applyAlignment="1">
      <alignment horizontal="center"/>
    </xf>
    <xf numFmtId="0" fontId="105" fillId="23" borderId="23" xfId="0" applyFont="1" applyFill="1" applyBorder="1" applyAlignment="1">
      <alignment horizontal="center"/>
    </xf>
    <xf numFmtId="0" fontId="98" fillId="8" borderId="43" xfId="0" applyFont="1" applyFill="1" applyBorder="1"/>
    <xf numFmtId="41" fontId="98" fillId="8" borderId="44" xfId="9" applyFont="1" applyFill="1" applyBorder="1" applyAlignment="1">
      <alignment horizontal="center"/>
    </xf>
    <xf numFmtId="9" fontId="98" fillId="8" borderId="44" xfId="0" applyNumberFormat="1" applyFont="1" applyFill="1" applyBorder="1" applyAlignment="1">
      <alignment horizontal="center"/>
    </xf>
    <xf numFmtId="0" fontId="83" fillId="8" borderId="0" xfId="0" applyFont="1" applyFill="1"/>
    <xf numFmtId="0" fontId="82" fillId="8" borderId="18" xfId="0" applyFont="1" applyFill="1" applyBorder="1" applyAlignment="1">
      <alignment horizontal="center" vertical="center" wrapText="1"/>
    </xf>
    <xf numFmtId="0" fontId="82" fillId="8" borderId="0" xfId="0" applyFont="1" applyFill="1" applyAlignment="1">
      <alignment horizontal="justify" vertical="center" wrapText="1"/>
    </xf>
    <xf numFmtId="0" fontId="82" fillId="8" borderId="18" xfId="0" applyFont="1" applyFill="1" applyBorder="1" applyAlignment="1">
      <alignment horizontal="justify" vertical="center" wrapText="1"/>
    </xf>
    <xf numFmtId="41" fontId="115" fillId="8" borderId="0" xfId="9" applyFont="1" applyFill="1" applyBorder="1"/>
    <xf numFmtId="0" fontId="121" fillId="8" borderId="0" xfId="0" applyFont="1" applyFill="1" applyAlignment="1">
      <alignment horizontal="center"/>
    </xf>
    <xf numFmtId="0" fontId="122" fillId="8" borderId="0" xfId="0" applyFont="1" applyFill="1" applyAlignment="1">
      <alignment horizontal="center"/>
    </xf>
    <xf numFmtId="0" fontId="123" fillId="8" borderId="0" xfId="0" applyFont="1" applyFill="1" applyAlignment="1">
      <alignment horizontal="right"/>
    </xf>
    <xf numFmtId="0" fontId="124" fillId="8" borderId="0" xfId="0" applyFont="1" applyFill="1" applyAlignment="1">
      <alignment horizontal="center"/>
    </xf>
    <xf numFmtId="0" fontId="122" fillId="8" borderId="0" xfId="0" applyFont="1" applyFill="1"/>
    <xf numFmtId="167" fontId="125" fillId="8" borderId="0" xfId="2" applyNumberFormat="1" applyFont="1" applyFill="1"/>
    <xf numFmtId="14" fontId="124" fillId="8" borderId="0" xfId="0" applyNumberFormat="1" applyFont="1" applyFill="1"/>
    <xf numFmtId="0" fontId="126" fillId="8" borderId="21" xfId="0" applyFont="1" applyFill="1" applyBorder="1" applyAlignment="1">
      <alignment horizontal="right" vertical="top" wrapText="1"/>
    </xf>
    <xf numFmtId="0" fontId="126" fillId="8" borderId="26" xfId="0" applyFont="1" applyFill="1" applyBorder="1" applyAlignment="1">
      <alignment horizontal="center" vertical="center" wrapText="1"/>
    </xf>
    <xf numFmtId="0" fontId="124" fillId="8" borderId="0" xfId="0" applyFont="1" applyFill="1"/>
    <xf numFmtId="0" fontId="123" fillId="8" borderId="0" xfId="0" applyFont="1" applyFill="1" applyAlignment="1">
      <alignment horizontal="left"/>
    </xf>
    <xf numFmtId="175" fontId="124" fillId="8" borderId="0" xfId="2" applyNumberFormat="1" applyFont="1" applyFill="1" applyAlignment="1">
      <alignment horizontal="center"/>
    </xf>
    <xf numFmtId="37" fontId="124" fillId="8" borderId="0" xfId="0" applyNumberFormat="1" applyFont="1" applyFill="1" applyAlignment="1">
      <alignment horizontal="center"/>
    </xf>
    <xf numFmtId="10" fontId="124" fillId="8" borderId="0" xfId="0" applyNumberFormat="1" applyFont="1" applyFill="1" applyAlignment="1">
      <alignment horizontal="center"/>
    </xf>
    <xf numFmtId="0" fontId="126" fillId="8" borderId="34" xfId="0" applyFont="1" applyFill="1" applyBorder="1" applyAlignment="1">
      <alignment horizontal="right" vertical="top" wrapText="1"/>
    </xf>
    <xf numFmtId="14" fontId="126" fillId="8" borderId="35" xfId="0" applyNumberFormat="1" applyFont="1" applyFill="1" applyBorder="1" applyAlignment="1">
      <alignment horizontal="center" vertical="top" wrapText="1"/>
    </xf>
    <xf numFmtId="0" fontId="123" fillId="8" borderId="0" xfId="0" applyFont="1" applyFill="1" applyAlignment="1">
      <alignment horizontal="center"/>
    </xf>
    <xf numFmtId="37" fontId="124" fillId="8" borderId="0" xfId="0" applyNumberFormat="1" applyFont="1" applyFill="1"/>
    <xf numFmtId="0" fontId="126" fillId="8" borderId="13" xfId="0" applyFont="1" applyFill="1" applyBorder="1" applyAlignment="1">
      <alignment horizontal="center"/>
    </xf>
    <xf numFmtId="0" fontId="126" fillId="8" borderId="0" xfId="0" applyFont="1" applyFill="1" applyAlignment="1">
      <alignment horizontal="center"/>
    </xf>
    <xf numFmtId="0" fontId="126" fillId="8" borderId="15" xfId="0" applyFont="1" applyFill="1" applyBorder="1" applyAlignment="1">
      <alignment horizontal="center"/>
    </xf>
    <xf numFmtId="14" fontId="126" fillId="8" borderId="15" xfId="0" applyNumberFormat="1" applyFont="1" applyFill="1" applyBorder="1" applyAlignment="1">
      <alignment horizontal="center"/>
    </xf>
    <xf numFmtId="3" fontId="128" fillId="8" borderId="1" xfId="0" applyNumberFormat="1" applyFont="1" applyFill="1" applyBorder="1" applyAlignment="1">
      <alignment horizontal="left"/>
    </xf>
    <xf numFmtId="0" fontId="128" fillId="8" borderId="1" xfId="0" applyFont="1" applyFill="1" applyBorder="1"/>
    <xf numFmtId="167" fontId="0" fillId="8" borderId="1" xfId="0" applyNumberFormat="1" applyFill="1" applyBorder="1"/>
    <xf numFmtId="37" fontId="128" fillId="8" borderId="1" xfId="0" applyNumberFormat="1" applyFont="1" applyFill="1" applyBorder="1" applyAlignment="1">
      <alignment horizontal="center"/>
    </xf>
    <xf numFmtId="0" fontId="128" fillId="8" borderId="1" xfId="0" applyFont="1" applyFill="1" applyBorder="1" applyAlignment="1">
      <alignment horizontal="center"/>
    </xf>
    <xf numFmtId="0" fontId="129" fillId="8" borderId="1" xfId="0" applyFont="1" applyFill="1" applyBorder="1" applyAlignment="1">
      <alignment horizontal="center"/>
    </xf>
    <xf numFmtId="0" fontId="130" fillId="8" borderId="0" xfId="0" applyFont="1" applyFill="1" applyAlignment="1">
      <alignment horizontal="center"/>
    </xf>
    <xf numFmtId="37" fontId="130" fillId="8" borderId="1" xfId="0" applyNumberFormat="1" applyFont="1" applyFill="1" applyBorder="1" applyAlignment="1">
      <alignment horizontal="center"/>
    </xf>
    <xf numFmtId="167" fontId="18" fillId="8" borderId="1" xfId="0" applyNumberFormat="1" applyFont="1" applyFill="1" applyBorder="1"/>
    <xf numFmtId="3" fontId="128" fillId="8" borderId="1" xfId="0" applyNumberFormat="1" applyFont="1" applyFill="1" applyBorder="1"/>
    <xf numFmtId="0" fontId="128" fillId="8" borderId="1" xfId="0" applyFont="1" applyFill="1" applyBorder="1" applyAlignment="1">
      <alignment horizontal="left"/>
    </xf>
    <xf numFmtId="3" fontId="0" fillId="8" borderId="1" xfId="0" applyNumberFormat="1" applyFill="1" applyBorder="1"/>
    <xf numFmtId="0" fontId="131" fillId="8" borderId="1" xfId="0" applyFont="1" applyFill="1" applyBorder="1" applyAlignment="1">
      <alignment vertical="center"/>
    </xf>
    <xf numFmtId="0" fontId="133" fillId="8" borderId="0" xfId="11" applyFont="1" applyFill="1" applyAlignment="1">
      <alignment horizontal="center"/>
    </xf>
    <xf numFmtId="0" fontId="134" fillId="8" borderId="0" xfId="11" applyFont="1" applyFill="1" applyAlignment="1">
      <alignment horizontal="center"/>
    </xf>
    <xf numFmtId="0" fontId="134" fillId="8" borderId="0" xfId="11" applyFont="1" applyFill="1"/>
    <xf numFmtId="167" fontId="130" fillId="8" borderId="0" xfId="0" applyNumberFormat="1" applyFont="1" applyFill="1" applyAlignment="1">
      <alignment horizontal="right"/>
    </xf>
    <xf numFmtId="3" fontId="130" fillId="8" borderId="0" xfId="0" applyNumberFormat="1" applyFont="1" applyFill="1"/>
    <xf numFmtId="0" fontId="130" fillId="8" borderId="0" xfId="0" applyFont="1" applyFill="1"/>
    <xf numFmtId="0" fontId="135" fillId="8" borderId="0" xfId="0" applyFont="1" applyFill="1" applyAlignment="1">
      <alignment horizontal="left"/>
    </xf>
    <xf numFmtId="0" fontId="130" fillId="8" borderId="0" xfId="0" applyFont="1" applyFill="1" applyAlignment="1">
      <alignment horizontal="left"/>
    </xf>
    <xf numFmtId="0" fontId="136" fillId="8" borderId="0" xfId="0" applyFont="1" applyFill="1" applyAlignment="1">
      <alignment horizontal="center"/>
    </xf>
    <xf numFmtId="0" fontId="136" fillId="8" borderId="0" xfId="0" applyFont="1" applyFill="1"/>
    <xf numFmtId="0" fontId="137" fillId="8" borderId="0" xfId="0" applyFont="1" applyFill="1"/>
    <xf numFmtId="0" fontId="137" fillId="8" borderId="1" xfId="0" applyFont="1" applyFill="1" applyBorder="1"/>
    <xf numFmtId="0" fontId="137" fillId="8" borderId="1" xfId="0" applyFont="1" applyFill="1" applyBorder="1" applyAlignment="1">
      <alignment horizontal="left" vertical="center" wrapText="1" indent="1"/>
    </xf>
    <xf numFmtId="41" fontId="66" fillId="23" borderId="24" xfId="9" applyFont="1" applyFill="1" applyBorder="1"/>
    <xf numFmtId="41" fontId="66" fillId="16" borderId="27" xfId="9" applyFont="1" applyFill="1" applyBorder="1" applyAlignment="1">
      <alignment horizontal="center" vertical="center" wrapText="1"/>
    </xf>
    <xf numFmtId="41" fontId="66" fillId="16" borderId="28" xfId="9" applyFont="1" applyFill="1" applyBorder="1" applyAlignment="1">
      <alignment horizontal="center" vertical="center" wrapText="1"/>
    </xf>
    <xf numFmtId="41" fontId="66" fillId="16" borderId="36" xfId="9" applyFont="1" applyFill="1" applyBorder="1" applyAlignment="1">
      <alignment horizontal="center"/>
    </xf>
    <xf numFmtId="0" fontId="83" fillId="0" borderId="24" xfId="0" applyFont="1" applyBorder="1" applyAlignment="1">
      <alignment horizontal="center" vertical="center" wrapText="1"/>
    </xf>
    <xf numFmtId="0" fontId="83" fillId="0" borderId="26" xfId="0" applyFont="1" applyBorder="1" applyAlignment="1">
      <alignment horizontal="center" vertical="center" wrapText="1"/>
    </xf>
    <xf numFmtId="0" fontId="82" fillId="0" borderId="36" xfId="0" applyFont="1" applyBorder="1" applyAlignment="1">
      <alignment horizontal="justify" vertical="center" wrapText="1"/>
    </xf>
    <xf numFmtId="0" fontId="83" fillId="0" borderId="35" xfId="0" applyFont="1" applyBorder="1" applyAlignment="1">
      <alignment horizontal="center" vertical="center" wrapText="1"/>
    </xf>
    <xf numFmtId="0" fontId="82" fillId="0" borderId="35" xfId="0" applyFont="1" applyBorder="1" applyAlignment="1">
      <alignment horizontal="center" vertical="center" wrapText="1"/>
    </xf>
    <xf numFmtId="0" fontId="82" fillId="6" borderId="35" xfId="0" applyFont="1" applyFill="1" applyBorder="1" applyAlignment="1">
      <alignment horizontal="center" vertical="center" wrapText="1"/>
    </xf>
    <xf numFmtId="0" fontId="112" fillId="0" borderId="0" xfId="0" applyFont="1"/>
    <xf numFmtId="0" fontId="83" fillId="0" borderId="24" xfId="0" applyFont="1" applyBorder="1" applyAlignment="1">
      <alignment horizontal="justify" vertical="center" wrapText="1"/>
    </xf>
    <xf numFmtId="0" fontId="83" fillId="0" borderId="26" xfId="0" applyFont="1" applyBorder="1" applyAlignment="1">
      <alignment horizontal="justify" vertical="center" wrapText="1"/>
    </xf>
    <xf numFmtId="0" fontId="83" fillId="0" borderId="31" xfId="0" applyFont="1" applyBorder="1" applyAlignment="1">
      <alignment horizontal="justify" vertical="center" wrapText="1"/>
    </xf>
    <xf numFmtId="0" fontId="82" fillId="15" borderId="24" xfId="0" applyFont="1" applyFill="1" applyBorder="1" applyAlignment="1">
      <alignment horizontal="center" vertical="center" wrapText="1"/>
    </xf>
    <xf numFmtId="0" fontId="82" fillId="15" borderId="36" xfId="0" applyFont="1" applyFill="1" applyBorder="1" applyAlignment="1">
      <alignment horizontal="center" vertical="center" wrapText="1"/>
    </xf>
    <xf numFmtId="0" fontId="82" fillId="6" borderId="24" xfId="0" applyFont="1" applyFill="1" applyBorder="1" applyAlignment="1">
      <alignment horizontal="center" vertical="center" wrapText="1"/>
    </xf>
    <xf numFmtId="0" fontId="82" fillId="6" borderId="24" xfId="0" applyFont="1" applyFill="1" applyBorder="1" applyAlignment="1">
      <alignment horizontal="justify" vertical="center" wrapText="1"/>
    </xf>
    <xf numFmtId="0" fontId="82" fillId="6" borderId="24" xfId="0" applyFont="1" applyFill="1" applyBorder="1" applyAlignment="1">
      <alignment vertical="center" wrapText="1"/>
    </xf>
    <xf numFmtId="0" fontId="82" fillId="6" borderId="27" xfId="0" applyFont="1" applyFill="1" applyBorder="1" applyAlignment="1">
      <alignment horizontal="center" vertical="center" wrapText="1"/>
    </xf>
    <xf numFmtId="0" fontId="82" fillId="15" borderId="27" xfId="0" applyFont="1" applyFill="1" applyBorder="1" applyAlignment="1">
      <alignment horizontal="center" vertical="center" wrapText="1"/>
    </xf>
    <xf numFmtId="0" fontId="82" fillId="15" borderId="24" xfId="0" applyFont="1" applyFill="1" applyBorder="1" applyAlignment="1">
      <alignment vertical="center" wrapText="1"/>
    </xf>
    <xf numFmtId="0" fontId="13" fillId="6" borderId="24" xfId="1" applyFill="1" applyBorder="1" applyAlignment="1" applyProtection="1">
      <alignment horizontal="center" vertical="center" wrapText="1"/>
    </xf>
    <xf numFmtId="0" fontId="82" fillId="26" borderId="36" xfId="0" applyFont="1" applyFill="1" applyBorder="1" applyAlignment="1">
      <alignment horizontal="center" vertical="center" wrapText="1"/>
    </xf>
    <xf numFmtId="0" fontId="82" fillId="26" borderId="35" xfId="0" applyFont="1" applyFill="1" applyBorder="1" applyAlignment="1">
      <alignment horizontal="justify" vertical="center" wrapText="1"/>
    </xf>
    <xf numFmtId="0" fontId="82" fillId="26" borderId="35" xfId="0" applyFont="1" applyFill="1" applyBorder="1" applyAlignment="1">
      <alignment horizontal="center" vertical="center" wrapText="1"/>
    </xf>
    <xf numFmtId="0" fontId="82" fillId="6" borderId="36" xfId="0" applyFont="1" applyFill="1" applyBorder="1" applyAlignment="1">
      <alignment horizontal="center" vertical="center" wrapText="1"/>
    </xf>
    <xf numFmtId="0" fontId="82" fillId="6" borderId="35" xfId="0" applyFont="1" applyFill="1" applyBorder="1" applyAlignment="1">
      <alignment horizontal="justify" vertical="center" wrapText="1"/>
    </xf>
    <xf numFmtId="0" fontId="82" fillId="15" borderId="35" xfId="0" applyFont="1" applyFill="1" applyBorder="1" applyAlignment="1">
      <alignment horizontal="justify" vertical="center" wrapText="1"/>
    </xf>
    <xf numFmtId="0" fontId="82" fillId="15" borderId="35" xfId="0" applyFont="1" applyFill="1" applyBorder="1" applyAlignment="1">
      <alignment horizontal="center" vertical="center" wrapText="1"/>
    </xf>
    <xf numFmtId="0" fontId="83" fillId="6" borderId="35" xfId="0" applyFont="1" applyFill="1" applyBorder="1" applyAlignment="1">
      <alignment horizontal="center" vertical="center" wrapText="1"/>
    </xf>
    <xf numFmtId="0" fontId="82" fillId="6" borderId="33" xfId="0" applyFont="1" applyFill="1" applyBorder="1" applyAlignment="1">
      <alignment horizontal="justify" vertical="center" wrapText="1"/>
    </xf>
    <xf numFmtId="0" fontId="82" fillId="6" borderId="27" xfId="0" applyFont="1" applyFill="1" applyBorder="1" applyAlignment="1">
      <alignment horizontal="justify" vertical="center" wrapText="1"/>
    </xf>
    <xf numFmtId="0" fontId="82" fillId="6" borderId="28" xfId="0" applyFont="1" applyFill="1" applyBorder="1" applyAlignment="1">
      <alignment horizontal="justify" vertical="center" wrapText="1"/>
    </xf>
    <xf numFmtId="0" fontId="82" fillId="6" borderId="36" xfId="0" applyFont="1" applyFill="1" applyBorder="1" applyAlignment="1">
      <alignment horizontal="justify" vertical="center" wrapText="1"/>
    </xf>
    <xf numFmtId="9" fontId="82" fillId="26" borderId="35" xfId="0" applyNumberFormat="1" applyFont="1" applyFill="1" applyBorder="1" applyAlignment="1">
      <alignment horizontal="center" vertical="center" wrapText="1"/>
    </xf>
    <xf numFmtId="0" fontId="82" fillId="26" borderId="33" xfId="0" applyFont="1" applyFill="1" applyBorder="1" applyAlignment="1">
      <alignment horizontal="justify" vertical="center" wrapText="1"/>
    </xf>
    <xf numFmtId="0" fontId="83" fillId="8" borderId="26" xfId="0" applyFont="1" applyFill="1" applyBorder="1" applyAlignment="1">
      <alignment horizontal="center" vertical="center" wrapText="1"/>
    </xf>
    <xf numFmtId="0" fontId="82" fillId="8" borderId="0" xfId="0" applyFont="1" applyFill="1" applyAlignment="1">
      <alignment horizontal="justify" vertical="center"/>
    </xf>
    <xf numFmtId="0" fontId="112" fillId="8" borderId="0" xfId="0" applyFont="1" applyFill="1" applyAlignment="1">
      <alignment horizontal="justify" vertical="center"/>
    </xf>
    <xf numFmtId="3" fontId="99" fillId="8" borderId="28" xfId="0" applyNumberFormat="1" applyFont="1" applyFill="1" applyBorder="1" applyAlignment="1">
      <alignment vertical="center" wrapText="1"/>
    </xf>
    <xf numFmtId="3" fontId="99" fillId="8" borderId="27" xfId="0" applyNumberFormat="1" applyFont="1" applyFill="1" applyBorder="1" applyAlignment="1">
      <alignment vertical="center" wrapText="1"/>
    </xf>
    <xf numFmtId="3" fontId="100" fillId="8" borderId="36" xfId="0" applyNumberFormat="1" applyFont="1" applyFill="1" applyBorder="1" applyAlignment="1">
      <alignment vertical="center" wrapText="1"/>
    </xf>
    <xf numFmtId="41" fontId="99" fillId="8" borderId="28" xfId="0" applyNumberFormat="1" applyFont="1" applyFill="1" applyBorder="1" applyAlignment="1">
      <alignment vertical="center" wrapText="1"/>
    </xf>
    <xf numFmtId="41" fontId="55" fillId="8" borderId="36" xfId="0" applyNumberFormat="1" applyFont="1" applyFill="1" applyBorder="1"/>
    <xf numFmtId="41" fontId="68" fillId="8" borderId="28" xfId="9" applyFont="1" applyFill="1" applyBorder="1"/>
    <xf numFmtId="41" fontId="66" fillId="16" borderId="24" xfId="9" applyFont="1" applyFill="1" applyBorder="1" applyAlignment="1">
      <alignment horizontal="center" vertical="center" wrapText="1"/>
    </xf>
    <xf numFmtId="41" fontId="62" fillId="7" borderId="28" xfId="9" applyFont="1" applyFill="1" applyBorder="1" applyAlignment="1">
      <alignment horizontal="center" vertical="center" wrapText="1"/>
    </xf>
    <xf numFmtId="41" fontId="66" fillId="16" borderId="24" xfId="9" applyFont="1" applyFill="1" applyBorder="1" applyAlignment="1">
      <alignment vertical="center" wrapText="1"/>
    </xf>
    <xf numFmtId="41" fontId="62" fillId="8" borderId="28" xfId="9" applyFont="1" applyFill="1" applyBorder="1" applyAlignment="1">
      <alignment horizontal="center" vertical="center" wrapText="1"/>
    </xf>
    <xf numFmtId="41" fontId="68" fillId="8" borderId="36" xfId="9" applyFont="1" applyFill="1" applyBorder="1"/>
    <xf numFmtId="41" fontId="66" fillId="14" borderId="27" xfId="9" applyFont="1" applyFill="1" applyBorder="1"/>
    <xf numFmtId="41" fontId="66" fillId="14" borderId="36" xfId="9" applyFont="1" applyFill="1" applyBorder="1"/>
    <xf numFmtId="41" fontId="68" fillId="8" borderId="28" xfId="9" applyFont="1" applyFill="1" applyBorder="1" applyAlignment="1">
      <alignment horizontal="center"/>
    </xf>
    <xf numFmtId="41" fontId="66" fillId="16" borderId="36" xfId="9" applyFont="1" applyFill="1" applyBorder="1" applyAlignment="1">
      <alignment vertical="center" wrapText="1"/>
    </xf>
    <xf numFmtId="41" fontId="68" fillId="16" borderId="28" xfId="9" applyFont="1" applyFill="1" applyBorder="1" applyAlignment="1">
      <alignment horizontal="center"/>
    </xf>
    <xf numFmtId="41" fontId="68" fillId="6" borderId="27" xfId="9" applyFont="1" applyFill="1" applyBorder="1"/>
    <xf numFmtId="41" fontId="68" fillId="15" borderId="36" xfId="9" applyFont="1" applyFill="1" applyBorder="1"/>
    <xf numFmtId="3" fontId="62" fillId="8" borderId="48" xfId="0" applyNumberFormat="1" applyFont="1" applyFill="1" applyBorder="1" applyAlignment="1">
      <alignment vertical="center" wrapText="1"/>
    </xf>
    <xf numFmtId="41" fontId="68" fillId="22" borderId="24" xfId="9" applyFont="1" applyFill="1" applyBorder="1"/>
    <xf numFmtId="41" fontId="68" fillId="6" borderId="24" xfId="9" applyFont="1" applyFill="1" applyBorder="1"/>
    <xf numFmtId="0" fontId="64" fillId="7" borderId="28" xfId="0" applyFont="1" applyFill="1" applyBorder="1" applyAlignment="1">
      <alignment horizontal="center"/>
    </xf>
    <xf numFmtId="0" fontId="64" fillId="7" borderId="28" xfId="0" applyFont="1" applyFill="1" applyBorder="1"/>
    <xf numFmtId="41" fontId="64" fillId="7" borderId="28" xfId="9" applyFont="1" applyFill="1" applyBorder="1"/>
    <xf numFmtId="0" fontId="62" fillId="7" borderId="28" xfId="0" applyFont="1" applyFill="1" applyBorder="1" applyAlignment="1">
      <alignment vertical="center" wrapText="1"/>
    </xf>
    <xf numFmtId="0" fontId="62" fillId="7" borderId="28" xfId="0" applyFont="1" applyFill="1" applyBorder="1" applyAlignment="1">
      <alignment horizontal="center" vertical="center" wrapText="1"/>
    </xf>
    <xf numFmtId="0" fontId="62" fillId="7" borderId="28" xfId="0" applyFont="1" applyFill="1" applyBorder="1" applyAlignment="1">
      <alignment horizontal="right" vertical="center" wrapText="1"/>
    </xf>
    <xf numFmtId="41" fontId="67" fillId="7" borderId="28" xfId="9" applyFont="1" applyFill="1" applyBorder="1" applyAlignment="1">
      <alignment vertical="center" wrapText="1"/>
    </xf>
    <xf numFmtId="41" fontId="62" fillId="7" borderId="28" xfId="9" applyFont="1" applyFill="1" applyBorder="1" applyAlignment="1">
      <alignment vertical="center" wrapText="1"/>
    </xf>
    <xf numFmtId="41" fontId="102" fillId="6" borderId="0" xfId="9" applyFont="1" applyFill="1"/>
    <xf numFmtId="41" fontId="115" fillId="8" borderId="0" xfId="9" applyFont="1" applyFill="1" applyBorder="1" applyAlignment="1">
      <alignment horizontal="center" vertical="center" wrapText="1"/>
    </xf>
    <xf numFmtId="41" fontId="70" fillId="8" borderId="0" xfId="9" applyFont="1" applyFill="1" applyBorder="1"/>
    <xf numFmtId="0" fontId="64" fillId="8" borderId="27" xfId="0" applyFont="1" applyFill="1" applyBorder="1" applyAlignment="1">
      <alignment horizontal="center"/>
    </xf>
    <xf numFmtId="0" fontId="62" fillId="8" borderId="36" xfId="0" applyFont="1" applyFill="1" applyBorder="1" applyAlignment="1">
      <alignment vertical="center" wrapText="1"/>
    </xf>
    <xf numFmtId="0" fontId="62" fillId="8" borderId="36" xfId="0" applyFont="1" applyFill="1" applyBorder="1" applyAlignment="1">
      <alignment horizontal="center" vertical="center" wrapText="1"/>
    </xf>
    <xf numFmtId="3" fontId="62" fillId="8" borderId="24" xfId="0" applyNumberFormat="1" applyFont="1" applyFill="1" applyBorder="1" applyAlignment="1">
      <alignment horizontal="right" vertical="center" wrapText="1"/>
    </xf>
    <xf numFmtId="41" fontId="62" fillId="8" borderId="36" xfId="9" applyFont="1" applyFill="1" applyBorder="1" applyAlignment="1">
      <alignment vertical="center" wrapText="1"/>
    </xf>
    <xf numFmtId="0" fontId="82" fillId="8" borderId="0" xfId="0" applyFont="1" applyFill="1" applyAlignment="1">
      <alignment horizontal="left"/>
    </xf>
    <xf numFmtId="0" fontId="60" fillId="8" borderId="21" xfId="0" applyFont="1" applyFill="1" applyBorder="1"/>
    <xf numFmtId="0" fontId="61" fillId="8" borderId="28" xfId="0" applyFont="1" applyFill="1" applyBorder="1" applyAlignment="1">
      <alignment vertical="center"/>
    </xf>
    <xf numFmtId="0" fontId="61" fillId="8" borderId="36" xfId="0" applyFont="1" applyFill="1" applyBorder="1" applyAlignment="1">
      <alignment vertical="center"/>
    </xf>
    <xf numFmtId="0" fontId="64" fillId="6" borderId="29" xfId="0" applyFont="1" applyFill="1" applyBorder="1"/>
    <xf numFmtId="0" fontId="64" fillId="6" borderId="30" xfId="0" applyFont="1" applyFill="1" applyBorder="1"/>
    <xf numFmtId="0" fontId="64" fillId="6" borderId="34" xfId="0" applyFont="1" applyFill="1" applyBorder="1"/>
    <xf numFmtId="0" fontId="64" fillId="6" borderId="18" xfId="0" applyFont="1" applyFill="1" applyBorder="1"/>
    <xf numFmtId="0" fontId="67" fillId="8" borderId="32" xfId="0" applyFont="1" applyFill="1" applyBorder="1" applyAlignment="1">
      <alignment horizontal="left" vertical="center" wrapText="1"/>
    </xf>
    <xf numFmtId="41" fontId="82" fillId="8" borderId="0" xfId="9" applyFont="1" applyFill="1" applyAlignment="1">
      <alignment horizontal="left"/>
    </xf>
    <xf numFmtId="0" fontId="98" fillId="8" borderId="15" xfId="0" applyFont="1" applyFill="1" applyBorder="1"/>
    <xf numFmtId="41" fontId="98" fillId="8" borderId="15" xfId="9" applyFont="1" applyFill="1" applyBorder="1" applyAlignment="1">
      <alignment horizontal="center"/>
    </xf>
    <xf numFmtId="0" fontId="87" fillId="8" borderId="24" xfId="0" applyFont="1" applyFill="1" applyBorder="1" applyAlignment="1">
      <alignment horizontal="center"/>
    </xf>
    <xf numFmtId="0" fontId="87" fillId="8" borderId="21" xfId="0" applyFont="1" applyFill="1" applyBorder="1"/>
    <xf numFmtId="0" fontId="87" fillId="8" borderId="25" xfId="0" applyFont="1" applyFill="1" applyBorder="1"/>
    <xf numFmtId="0" fontId="80" fillId="8" borderId="29" xfId="0" applyFont="1" applyFill="1" applyBorder="1"/>
    <xf numFmtId="0" fontId="80" fillId="8" borderId="30" xfId="0" applyFont="1" applyFill="1" applyBorder="1"/>
    <xf numFmtId="3" fontId="80" fillId="8" borderId="27" xfId="0" applyNumberFormat="1" applyFont="1" applyFill="1" applyBorder="1"/>
    <xf numFmtId="3" fontId="80" fillId="8" borderId="36" xfId="0" applyNumberFormat="1" applyFont="1" applyFill="1" applyBorder="1"/>
    <xf numFmtId="3" fontId="80" fillId="8" borderId="28" xfId="0" applyNumberFormat="1" applyFont="1" applyFill="1" applyBorder="1"/>
    <xf numFmtId="0" fontId="80" fillId="8" borderId="21" xfId="0" applyFont="1" applyFill="1" applyBorder="1"/>
    <xf numFmtId="0" fontId="80" fillId="8" borderId="25" xfId="0" applyFont="1" applyFill="1" applyBorder="1"/>
    <xf numFmtId="3" fontId="80" fillId="8" borderId="24" xfId="0" applyNumberFormat="1" applyFont="1" applyFill="1" applyBorder="1"/>
    <xf numFmtId="41" fontId="80" fillId="8" borderId="1" xfId="9" applyFont="1" applyFill="1" applyBorder="1" applyAlignment="1">
      <alignment horizontal="right" vertical="center" wrapText="1"/>
    </xf>
    <xf numFmtId="0" fontId="80" fillId="8" borderId="1" xfId="0" applyFont="1" applyFill="1" applyBorder="1" applyAlignment="1">
      <alignment horizontal="right" vertical="center" wrapText="1"/>
    </xf>
    <xf numFmtId="0" fontId="87" fillId="8" borderId="1" xfId="0" applyFont="1" applyFill="1" applyBorder="1"/>
    <xf numFmtId="41" fontId="87" fillId="8" borderId="1" xfId="0" applyNumberFormat="1" applyFont="1" applyFill="1" applyBorder="1"/>
    <xf numFmtId="0" fontId="87" fillId="8" borderId="14" xfId="0" applyFont="1" applyFill="1" applyBorder="1" applyAlignment="1">
      <alignment vertical="center" wrapText="1"/>
    </xf>
    <xf numFmtId="0" fontId="87" fillId="8" borderId="14" xfId="0" applyFont="1" applyFill="1" applyBorder="1" applyAlignment="1">
      <alignment horizontal="right" vertical="center" wrapText="1"/>
    </xf>
    <xf numFmtId="41" fontId="87" fillId="8" borderId="1" xfId="9" applyFont="1" applyFill="1" applyBorder="1"/>
    <xf numFmtId="3" fontId="0" fillId="8" borderId="0" xfId="0" applyNumberFormat="1" applyFill="1"/>
    <xf numFmtId="0" fontId="62" fillId="27" borderId="0" xfId="0" applyFont="1" applyFill="1" applyAlignment="1">
      <alignment horizontal="center" wrapText="1"/>
    </xf>
    <xf numFmtId="0" fontId="62" fillId="27" borderId="0" xfId="0" applyFont="1" applyFill="1" applyAlignment="1">
      <alignment horizontal="center" vertical="top" wrapText="1"/>
    </xf>
    <xf numFmtId="0" fontId="139" fillId="19" borderId="0" xfId="0" applyFont="1" applyFill="1" applyAlignment="1">
      <alignment horizontal="center" vertical="top" wrapText="1"/>
    </xf>
    <xf numFmtId="41" fontId="96" fillId="6" borderId="24" xfId="0" applyNumberFormat="1" applyFont="1" applyFill="1" applyBorder="1" applyAlignment="1">
      <alignment horizontal="center"/>
    </xf>
    <xf numFmtId="0" fontId="97" fillId="7" borderId="1" xfId="0" applyFont="1" applyFill="1" applyBorder="1"/>
    <xf numFmtId="0" fontId="97" fillId="7" borderId="10" xfId="0" applyFont="1" applyFill="1" applyBorder="1" applyAlignment="1">
      <alignment horizontal="center"/>
    </xf>
    <xf numFmtId="0" fontId="97" fillId="7" borderId="1" xfId="0" applyFont="1" applyFill="1" applyBorder="1" applyAlignment="1">
      <alignment horizontal="center"/>
    </xf>
    <xf numFmtId="41" fontId="59" fillId="8" borderId="0" xfId="9" applyFont="1" applyFill="1"/>
    <xf numFmtId="41" fontId="117" fillId="7" borderId="21" xfId="9" applyFont="1" applyFill="1" applyBorder="1" applyAlignment="1">
      <alignment horizontal="center"/>
    </xf>
    <xf numFmtId="41" fontId="117" fillId="7" borderId="24" xfId="9" applyFont="1" applyFill="1" applyBorder="1" applyAlignment="1">
      <alignment horizontal="center"/>
    </xf>
    <xf numFmtId="41" fontId="117" fillId="7" borderId="26" xfId="9" applyFont="1" applyFill="1" applyBorder="1" applyAlignment="1">
      <alignment horizontal="center"/>
    </xf>
    <xf numFmtId="41" fontId="59" fillId="8" borderId="28" xfId="9" applyFont="1" applyFill="1" applyBorder="1"/>
    <xf numFmtId="41" fontId="59" fillId="8" borderId="33" xfId="9" applyFont="1" applyFill="1" applyBorder="1"/>
    <xf numFmtId="41" fontId="59" fillId="8" borderId="32" xfId="9" applyFont="1" applyFill="1" applyBorder="1" applyAlignment="1">
      <alignment horizontal="right" vertical="center"/>
    </xf>
    <xf numFmtId="41" fontId="59" fillId="8" borderId="34" xfId="9" applyFont="1" applyFill="1" applyBorder="1" applyAlignment="1">
      <alignment horizontal="right" vertical="center"/>
    </xf>
    <xf numFmtId="41" fontId="59" fillId="8" borderId="36" xfId="9" applyFont="1" applyFill="1" applyBorder="1"/>
    <xf numFmtId="41" fontId="59" fillId="8" borderId="35" xfId="9" applyFont="1" applyFill="1" applyBorder="1"/>
    <xf numFmtId="41" fontId="59" fillId="8" borderId="0" xfId="9" applyFont="1" applyFill="1" applyAlignment="1">
      <alignment horizontal="right" vertical="center"/>
    </xf>
    <xf numFmtId="41" fontId="117" fillId="7" borderId="34" xfId="9" applyFont="1" applyFill="1" applyBorder="1" applyAlignment="1">
      <alignment horizontal="center"/>
    </xf>
    <xf numFmtId="41" fontId="117" fillId="7" borderId="35" xfId="9" applyFont="1" applyFill="1" applyBorder="1" applyAlignment="1">
      <alignment horizontal="center"/>
    </xf>
    <xf numFmtId="41" fontId="61" fillId="8" borderId="32" xfId="9" applyFont="1" applyFill="1" applyBorder="1" applyAlignment="1">
      <alignment horizontal="center" vertical="center"/>
    </xf>
    <xf numFmtId="41" fontId="61" fillId="8" borderId="28" xfId="9" applyFont="1" applyFill="1" applyBorder="1" applyAlignment="1">
      <alignment horizontal="right" vertical="center"/>
    </xf>
    <xf numFmtId="41" fontId="59" fillId="8" borderId="32" xfId="9" applyFont="1" applyFill="1" applyBorder="1"/>
    <xf numFmtId="41" fontId="60" fillId="7" borderId="21" xfId="9" applyFont="1" applyFill="1" applyBorder="1"/>
    <xf numFmtId="41" fontId="60" fillId="7" borderId="24" xfId="9" applyFont="1" applyFill="1" applyBorder="1"/>
    <xf numFmtId="41" fontId="60" fillId="7" borderId="26" xfId="9" applyFont="1" applyFill="1" applyBorder="1"/>
    <xf numFmtId="41" fontId="60" fillId="8" borderId="21" xfId="9" applyFont="1" applyFill="1" applyBorder="1"/>
    <xf numFmtId="41" fontId="60" fillId="8" borderId="24" xfId="9" applyFont="1" applyFill="1" applyBorder="1"/>
    <xf numFmtId="41" fontId="60" fillId="8" borderId="26" xfId="9" applyFont="1" applyFill="1" applyBorder="1"/>
    <xf numFmtId="41" fontId="60" fillId="7" borderId="34" xfId="9" applyFont="1" applyFill="1" applyBorder="1"/>
    <xf numFmtId="41" fontId="60" fillId="7" borderId="36" xfId="9" applyFont="1" applyFill="1" applyBorder="1"/>
    <xf numFmtId="41" fontId="60" fillId="7" borderId="35" xfId="9" applyFont="1" applyFill="1" applyBorder="1"/>
    <xf numFmtId="0" fontId="61" fillId="6" borderId="27" xfId="0" applyFont="1" applyFill="1" applyBorder="1" applyAlignment="1">
      <alignment vertical="center"/>
    </xf>
    <xf numFmtId="41" fontId="61" fillId="6" borderId="32" xfId="9" applyFont="1" applyFill="1" applyBorder="1" applyAlignment="1">
      <alignment horizontal="right" vertical="center"/>
    </xf>
    <xf numFmtId="41" fontId="59" fillId="6" borderId="28" xfId="9" applyFont="1" applyFill="1" applyBorder="1"/>
    <xf numFmtId="41" fontId="59" fillId="6" borderId="33" xfId="9" applyFont="1" applyFill="1" applyBorder="1"/>
    <xf numFmtId="0" fontId="0" fillId="6" borderId="0" xfId="0" applyFill="1"/>
    <xf numFmtId="0" fontId="61" fillId="6" borderId="28" xfId="0" applyFont="1" applyFill="1" applyBorder="1" applyAlignment="1">
      <alignment vertical="center"/>
    </xf>
    <xf numFmtId="0" fontId="100" fillId="2" borderId="28" xfId="0" applyFont="1" applyFill="1" applyBorder="1" applyAlignment="1">
      <alignment vertical="center" wrapText="1"/>
    </xf>
    <xf numFmtId="41" fontId="61" fillId="2" borderId="32" xfId="9" applyFont="1" applyFill="1" applyBorder="1" applyAlignment="1">
      <alignment horizontal="right" vertical="center"/>
    </xf>
    <xf numFmtId="41" fontId="59" fillId="2" borderId="28" xfId="9" applyFont="1" applyFill="1" applyBorder="1"/>
    <xf numFmtId="41" fontId="59" fillId="2" borderId="33" xfId="9" applyFont="1" applyFill="1" applyBorder="1"/>
    <xf numFmtId="0" fontId="0" fillId="2" borderId="0" xfId="0" applyFill="1"/>
    <xf numFmtId="0" fontId="61" fillId="2" borderId="28" xfId="0" applyFont="1" applyFill="1" applyBorder="1" applyAlignment="1">
      <alignment vertical="center"/>
    </xf>
    <xf numFmtId="0" fontId="61" fillId="28" borderId="28" xfId="0" applyFont="1" applyFill="1" applyBorder="1" applyAlignment="1">
      <alignment vertical="center"/>
    </xf>
    <xf numFmtId="41" fontId="61" fillId="28" borderId="32" xfId="9" applyFont="1" applyFill="1" applyBorder="1" applyAlignment="1">
      <alignment horizontal="right" vertical="center"/>
    </xf>
    <xf numFmtId="41" fontId="59" fillId="28" borderId="28" xfId="9" applyFont="1" applyFill="1" applyBorder="1"/>
    <xf numFmtId="41" fontId="59" fillId="28" borderId="33" xfId="9" applyFont="1" applyFill="1" applyBorder="1"/>
    <xf numFmtId="0" fontId="0" fillId="28" borderId="0" xfId="0" applyFill="1"/>
    <xf numFmtId="3" fontId="102" fillId="8" borderId="28" xfId="0" applyNumberFormat="1" applyFont="1" applyFill="1" applyBorder="1" applyAlignment="1">
      <alignment horizontal="right" vertical="center" wrapText="1"/>
    </xf>
    <xf numFmtId="41" fontId="102" fillId="8" borderId="28" xfId="9" applyFont="1" applyFill="1" applyBorder="1" applyAlignment="1">
      <alignment vertical="center" wrapText="1"/>
    </xf>
    <xf numFmtId="41" fontId="102" fillId="8" borderId="36" xfId="9" applyFont="1" applyFill="1" applyBorder="1" applyAlignment="1">
      <alignment vertical="center" wrapText="1"/>
    </xf>
    <xf numFmtId="0" fontId="61" fillId="7" borderId="28" xfId="0" applyFont="1" applyFill="1" applyBorder="1" applyAlignment="1">
      <alignment vertical="center"/>
    </xf>
    <xf numFmtId="41" fontId="61" fillId="7" borderId="32" xfId="9" applyFont="1" applyFill="1" applyBorder="1" applyAlignment="1">
      <alignment horizontal="right" vertical="center"/>
    </xf>
    <xf numFmtId="41" fontId="59" fillId="7" borderId="28" xfId="9" applyFont="1" applyFill="1" applyBorder="1"/>
    <xf numFmtId="41" fontId="59" fillId="7" borderId="33" xfId="9" applyFont="1" applyFill="1" applyBorder="1"/>
    <xf numFmtId="0" fontId="0" fillId="7" borderId="0" xfId="0" applyFill="1"/>
    <xf numFmtId="41" fontId="59" fillId="7" borderId="32" xfId="9" applyFont="1" applyFill="1" applyBorder="1" applyAlignment="1">
      <alignment horizontal="right" vertical="center"/>
    </xf>
    <xf numFmtId="0" fontId="61" fillId="29" borderId="28" xfId="0" applyFont="1" applyFill="1" applyBorder="1" applyAlignment="1">
      <alignment vertical="center"/>
    </xf>
    <xf numFmtId="41" fontId="61" fillId="29" borderId="32" xfId="9" applyFont="1" applyFill="1" applyBorder="1" applyAlignment="1">
      <alignment horizontal="right" vertical="center"/>
    </xf>
    <xf numFmtId="41" fontId="59" fillId="29" borderId="28" xfId="9" applyFont="1" applyFill="1" applyBorder="1"/>
    <xf numFmtId="41" fontId="59" fillId="29" borderId="33" xfId="9" applyFont="1" applyFill="1" applyBorder="1"/>
    <xf numFmtId="0" fontId="0" fillId="29" borderId="0" xfId="0" applyFill="1"/>
    <xf numFmtId="0" fontId="61" fillId="30" borderId="28" xfId="0" applyFont="1" applyFill="1" applyBorder="1" applyAlignment="1">
      <alignment vertical="center"/>
    </xf>
    <xf numFmtId="41" fontId="61" fillId="30" borderId="32" xfId="9" applyFont="1" applyFill="1" applyBorder="1" applyAlignment="1">
      <alignment horizontal="right" vertical="center"/>
    </xf>
    <xf numFmtId="41" fontId="59" fillId="30" borderId="28" xfId="9" applyFont="1" applyFill="1" applyBorder="1"/>
    <xf numFmtId="41" fontId="59" fillId="30" borderId="33" xfId="9" applyFont="1" applyFill="1" applyBorder="1"/>
    <xf numFmtId="0" fontId="0" fillId="30" borderId="0" xfId="0" applyFill="1"/>
    <xf numFmtId="0" fontId="67" fillId="31" borderId="28" xfId="0" applyFont="1" applyFill="1" applyBorder="1" applyAlignment="1">
      <alignment vertical="center" wrapText="1"/>
    </xf>
    <xf numFmtId="41" fontId="59" fillId="31" borderId="32" xfId="9" applyFont="1" applyFill="1" applyBorder="1" applyAlignment="1">
      <alignment horizontal="right" vertical="center" wrapText="1"/>
    </xf>
    <xf numFmtId="41" fontId="59" fillId="31" borderId="28" xfId="9" applyFont="1" applyFill="1" applyBorder="1"/>
    <xf numFmtId="41" fontId="59" fillId="31" borderId="33" xfId="9" applyFont="1" applyFill="1" applyBorder="1"/>
    <xf numFmtId="0" fontId="0" fillId="31" borderId="0" xfId="0" applyFill="1"/>
    <xf numFmtId="41" fontId="59" fillId="30" borderId="32" xfId="9" applyFont="1" applyFill="1" applyBorder="1" applyAlignment="1">
      <alignment horizontal="right" vertical="center"/>
    </xf>
    <xf numFmtId="0" fontId="61" fillId="32" borderId="28" xfId="0" applyFont="1" applyFill="1" applyBorder="1" applyAlignment="1">
      <alignment vertical="center"/>
    </xf>
    <xf numFmtId="41" fontId="59" fillId="32" borderId="32" xfId="9" applyFont="1" applyFill="1" applyBorder="1" applyAlignment="1">
      <alignment horizontal="right" vertical="center"/>
    </xf>
    <xf numFmtId="41" fontId="59" fillId="32" borderId="28" xfId="9" applyFont="1" applyFill="1" applyBorder="1"/>
    <xf numFmtId="41" fontId="59" fillId="32" borderId="33" xfId="9" applyFont="1" applyFill="1" applyBorder="1"/>
    <xf numFmtId="0" fontId="0" fillId="32" borderId="0" xfId="0" applyFill="1"/>
    <xf numFmtId="0" fontId="61" fillId="33" borderId="28" xfId="0" applyFont="1" applyFill="1" applyBorder="1" applyAlignment="1">
      <alignment vertical="center"/>
    </xf>
    <xf numFmtId="41" fontId="59" fillId="33" borderId="32" xfId="9" applyFont="1" applyFill="1" applyBorder="1" applyAlignment="1">
      <alignment horizontal="right" vertical="center"/>
    </xf>
    <xf numFmtId="41" fontId="59" fillId="33" borderId="28" xfId="9" applyFont="1" applyFill="1" applyBorder="1"/>
    <xf numFmtId="41" fontId="59" fillId="33" borderId="33" xfId="9" applyFont="1" applyFill="1" applyBorder="1"/>
    <xf numFmtId="0" fontId="0" fillId="33" borderId="0" xfId="0" applyFill="1"/>
    <xf numFmtId="0" fontId="61" fillId="33" borderId="32" xfId="0" applyFont="1" applyFill="1" applyBorder="1" applyAlignment="1">
      <alignment vertical="center"/>
    </xf>
    <xf numFmtId="41" fontId="61" fillId="33" borderId="32" xfId="9" applyFont="1" applyFill="1" applyBorder="1" applyAlignment="1">
      <alignment horizontal="center" vertical="center"/>
    </xf>
    <xf numFmtId="41" fontId="61" fillId="33" borderId="28" xfId="9" applyFont="1" applyFill="1" applyBorder="1" applyAlignment="1">
      <alignment horizontal="right" vertical="center"/>
    </xf>
    <xf numFmtId="41" fontId="59" fillId="33" borderId="28" xfId="9" applyFont="1" applyFill="1" applyBorder="1" applyAlignment="1">
      <alignment horizontal="right" vertical="center"/>
    </xf>
    <xf numFmtId="0" fontId="61" fillId="6" borderId="32" xfId="0" applyFont="1" applyFill="1" applyBorder="1" applyAlignment="1">
      <alignment vertical="center"/>
    </xf>
    <xf numFmtId="41" fontId="61" fillId="6" borderId="32" xfId="9" applyFont="1" applyFill="1" applyBorder="1" applyAlignment="1">
      <alignment horizontal="center" vertical="center"/>
    </xf>
    <xf numFmtId="41" fontId="61" fillId="6" borderId="28" xfId="9" applyFont="1" applyFill="1" applyBorder="1" applyAlignment="1">
      <alignment horizontal="right" vertical="center"/>
    </xf>
    <xf numFmtId="0" fontId="61" fillId="34" borderId="32" xfId="0" applyFont="1" applyFill="1" applyBorder="1" applyAlignment="1">
      <alignment vertical="center"/>
    </xf>
    <xf numFmtId="41" fontId="61" fillId="34" borderId="32" xfId="9" applyFont="1" applyFill="1" applyBorder="1" applyAlignment="1">
      <alignment horizontal="center" vertical="center"/>
    </xf>
    <xf numFmtId="41" fontId="61" fillId="34" borderId="28" xfId="9" applyFont="1" applyFill="1" applyBorder="1" applyAlignment="1">
      <alignment horizontal="right" vertical="center"/>
    </xf>
    <xf numFmtId="41" fontId="59" fillId="34" borderId="28" xfId="9" applyFont="1" applyFill="1" applyBorder="1"/>
    <xf numFmtId="41" fontId="59" fillId="34" borderId="33" xfId="9" applyFont="1" applyFill="1" applyBorder="1"/>
    <xf numFmtId="0" fontId="0" fillId="34" borderId="0" xfId="0" applyFill="1"/>
    <xf numFmtId="0" fontId="61" fillId="2" borderId="32" xfId="0" applyFont="1" applyFill="1" applyBorder="1" applyAlignment="1">
      <alignment vertical="center"/>
    </xf>
    <xf numFmtId="41" fontId="61" fillId="2" borderId="32" xfId="9" applyFont="1" applyFill="1" applyBorder="1" applyAlignment="1">
      <alignment horizontal="center" vertical="center"/>
    </xf>
    <xf numFmtId="41" fontId="61" fillId="2" borderId="28" xfId="9" applyFont="1" applyFill="1" applyBorder="1" applyAlignment="1">
      <alignment horizontal="right" vertical="center"/>
    </xf>
    <xf numFmtId="0" fontId="61" fillId="24" borderId="32" xfId="0" applyFont="1" applyFill="1" applyBorder="1" applyAlignment="1">
      <alignment vertical="center"/>
    </xf>
    <xf numFmtId="41" fontId="61" fillId="24" borderId="32" xfId="9" applyFont="1" applyFill="1" applyBorder="1" applyAlignment="1">
      <alignment horizontal="center" vertical="center"/>
    </xf>
    <xf numFmtId="41" fontId="61" fillId="24" borderId="28" xfId="9" applyFont="1" applyFill="1" applyBorder="1" applyAlignment="1">
      <alignment horizontal="right" vertical="center"/>
    </xf>
    <xf numFmtId="41" fontId="59" fillId="24" borderId="28" xfId="9" applyFont="1" applyFill="1" applyBorder="1"/>
    <xf numFmtId="41" fontId="59" fillId="24" borderId="33" xfId="9" applyFont="1" applyFill="1" applyBorder="1"/>
    <xf numFmtId="0" fontId="0" fillId="24" borderId="0" xfId="0" applyFill="1"/>
    <xf numFmtId="0" fontId="61" fillId="35" borderId="32" xfId="0" applyFont="1" applyFill="1" applyBorder="1" applyAlignment="1">
      <alignment vertical="center"/>
    </xf>
    <xf numFmtId="41" fontId="61" fillId="35" borderId="32" xfId="9" applyFont="1" applyFill="1" applyBorder="1" applyAlignment="1">
      <alignment horizontal="center" vertical="center"/>
    </xf>
    <xf numFmtId="41" fontId="61" fillId="35" borderId="28" xfId="9" applyFont="1" applyFill="1" applyBorder="1" applyAlignment="1">
      <alignment horizontal="right" vertical="center"/>
    </xf>
    <xf numFmtId="41" fontId="59" fillId="35" borderId="28" xfId="9" applyFont="1" applyFill="1" applyBorder="1"/>
    <xf numFmtId="41" fontId="59" fillId="35" borderId="33" xfId="9" applyFont="1" applyFill="1" applyBorder="1"/>
    <xf numFmtId="0" fontId="0" fillId="35" borderId="0" xfId="0" applyFill="1"/>
    <xf numFmtId="41" fontId="59" fillId="35" borderId="32" xfId="9" applyFont="1" applyFill="1" applyBorder="1"/>
    <xf numFmtId="0" fontId="61" fillId="26" borderId="32" xfId="0" applyFont="1" applyFill="1" applyBorder="1" applyAlignment="1">
      <alignment vertical="center"/>
    </xf>
    <xf numFmtId="41" fontId="59" fillId="26" borderId="32" xfId="9" applyFont="1" applyFill="1" applyBorder="1"/>
    <xf numFmtId="41" fontId="59" fillId="26" borderId="28" xfId="9" applyFont="1" applyFill="1" applyBorder="1"/>
    <xf numFmtId="41" fontId="59" fillId="26" borderId="33" xfId="9" applyFont="1" applyFill="1" applyBorder="1"/>
    <xf numFmtId="0" fontId="0" fillId="26" borderId="0" xfId="0" applyFill="1"/>
    <xf numFmtId="41" fontId="59" fillId="2" borderId="32" xfId="9" applyFont="1" applyFill="1" applyBorder="1"/>
    <xf numFmtId="0" fontId="61" fillId="36" borderId="32" xfId="0" applyFont="1" applyFill="1" applyBorder="1" applyAlignment="1">
      <alignment vertical="center"/>
    </xf>
    <xf numFmtId="41" fontId="59" fillId="36" borderId="32" xfId="9" applyFont="1" applyFill="1" applyBorder="1"/>
    <xf numFmtId="41" fontId="59" fillId="36" borderId="28" xfId="9" applyFont="1" applyFill="1" applyBorder="1"/>
    <xf numFmtId="41" fontId="59" fillId="36" borderId="33" xfId="9" applyFont="1" applyFill="1" applyBorder="1"/>
    <xf numFmtId="0" fontId="0" fillId="36" borderId="0" xfId="0" applyFill="1"/>
    <xf numFmtId="41" fontId="59" fillId="34" borderId="32" xfId="9" applyFont="1" applyFill="1" applyBorder="1"/>
    <xf numFmtId="0" fontId="61" fillId="3" borderId="32" xfId="0" applyFont="1" applyFill="1" applyBorder="1" applyAlignment="1">
      <alignment vertical="center"/>
    </xf>
    <xf numFmtId="41" fontId="59" fillId="3" borderId="32" xfId="9" applyFont="1" applyFill="1" applyBorder="1"/>
    <xf numFmtId="41" fontId="59" fillId="3" borderId="28" xfId="9" applyFont="1" applyFill="1" applyBorder="1"/>
    <xf numFmtId="41" fontId="59" fillId="3" borderId="33" xfId="9" applyFont="1" applyFill="1" applyBorder="1"/>
    <xf numFmtId="0" fontId="0" fillId="3" borderId="0" xfId="0" applyFill="1"/>
    <xf numFmtId="0" fontId="61" fillId="37" borderId="32" xfId="0" applyFont="1" applyFill="1" applyBorder="1" applyAlignment="1">
      <alignment vertical="center"/>
    </xf>
    <xf numFmtId="41" fontId="59" fillId="37" borderId="32" xfId="9" applyFont="1" applyFill="1" applyBorder="1"/>
    <xf numFmtId="41" fontId="59" fillId="37" borderId="28" xfId="9" applyFont="1" applyFill="1" applyBorder="1"/>
    <xf numFmtId="41" fontId="59" fillId="37" borderId="33" xfId="9" applyFont="1" applyFill="1" applyBorder="1"/>
    <xf numFmtId="0" fontId="0" fillId="37" borderId="0" xfId="0" applyFill="1"/>
    <xf numFmtId="41" fontId="59" fillId="6" borderId="32" xfId="9" applyFont="1" applyFill="1" applyBorder="1"/>
    <xf numFmtId="0" fontId="61" fillId="32" borderId="32" xfId="0" applyFont="1" applyFill="1" applyBorder="1" applyAlignment="1">
      <alignment vertical="center"/>
    </xf>
    <xf numFmtId="41" fontId="59" fillId="32" borderId="32" xfId="9" applyFont="1" applyFill="1" applyBorder="1"/>
    <xf numFmtId="0" fontId="61" fillId="30" borderId="32" xfId="0" applyFont="1" applyFill="1" applyBorder="1" applyAlignment="1">
      <alignment vertical="center"/>
    </xf>
    <xf numFmtId="41" fontId="59" fillId="30" borderId="32" xfId="9" applyFont="1" applyFill="1" applyBorder="1"/>
    <xf numFmtId="0" fontId="98" fillId="7" borderId="13" xfId="0" applyFont="1" applyFill="1" applyBorder="1"/>
    <xf numFmtId="41" fontId="98" fillId="7" borderId="13" xfId="9" applyFont="1" applyFill="1" applyBorder="1" applyAlignment="1">
      <alignment horizontal="center"/>
    </xf>
    <xf numFmtId="9" fontId="98" fillId="7" borderId="13" xfId="9" applyNumberFormat="1" applyFont="1" applyFill="1" applyBorder="1" applyAlignment="1">
      <alignment horizontal="center"/>
    </xf>
    <xf numFmtId="41" fontId="138" fillId="8" borderId="0" xfId="9" applyFont="1" applyFill="1" applyAlignment="1">
      <alignment vertical="center"/>
    </xf>
    <xf numFmtId="41" fontId="138" fillId="8" borderId="34" xfId="9" applyFont="1" applyFill="1" applyBorder="1" applyAlignment="1">
      <alignment vertical="center"/>
    </xf>
    <xf numFmtId="41" fontId="138" fillId="8" borderId="35" xfId="9" applyFont="1" applyFill="1" applyBorder="1" applyAlignment="1">
      <alignment vertical="center"/>
    </xf>
    <xf numFmtId="41" fontId="138" fillId="8" borderId="36" xfId="9" applyFont="1" applyFill="1" applyBorder="1" applyAlignment="1">
      <alignment vertical="center"/>
    </xf>
    <xf numFmtId="41" fontId="82" fillId="8" borderId="21" xfId="9" applyFont="1" applyFill="1" applyBorder="1" applyAlignment="1">
      <alignment horizontal="center"/>
    </xf>
    <xf numFmtId="41" fontId="82" fillId="8" borderId="24" xfId="9" applyFont="1" applyFill="1" applyBorder="1" applyAlignment="1">
      <alignment horizontal="center"/>
    </xf>
    <xf numFmtId="0" fontId="82" fillId="8" borderId="26" xfId="0" applyFont="1" applyFill="1" applyBorder="1" applyAlignment="1">
      <alignment horizontal="center"/>
    </xf>
    <xf numFmtId="41" fontId="138" fillId="8" borderId="24" xfId="9" applyFont="1" applyFill="1" applyBorder="1" applyAlignment="1">
      <alignment vertical="center"/>
    </xf>
    <xf numFmtId="41" fontId="83" fillId="8" borderId="24" xfId="9" applyFont="1" applyFill="1" applyBorder="1"/>
    <xf numFmtId="0" fontId="71" fillId="8" borderId="0" xfId="0" applyFont="1" applyFill="1" applyAlignment="1">
      <alignment horizontal="center" vertical="center" wrapText="1"/>
    </xf>
    <xf numFmtId="0" fontId="69" fillId="8" borderId="0" xfId="0" applyFont="1" applyFill="1" applyAlignment="1">
      <alignment horizontal="center" vertical="center" wrapText="1"/>
    </xf>
    <xf numFmtId="16" fontId="67" fillId="8" borderId="32" xfId="0" applyNumberFormat="1" applyFont="1" applyFill="1" applyBorder="1" applyAlignment="1">
      <alignment horizontal="center" vertical="center" wrapText="1"/>
    </xf>
    <xf numFmtId="0" fontId="100" fillId="6" borderId="32" xfId="0" applyFont="1" applyFill="1" applyBorder="1" applyAlignment="1">
      <alignment vertical="center" wrapText="1"/>
    </xf>
    <xf numFmtId="0" fontId="100" fillId="6" borderId="32" xfId="0" applyFont="1" applyFill="1" applyBorder="1" applyAlignment="1">
      <alignment horizontal="center" vertical="center" wrapText="1"/>
    </xf>
    <xf numFmtId="3" fontId="100" fillId="6" borderId="28" xfId="0" applyNumberFormat="1" applyFont="1" applyFill="1" applyBorder="1" applyAlignment="1">
      <alignment vertical="center" wrapText="1"/>
    </xf>
    <xf numFmtId="3" fontId="128" fillId="6" borderId="1" xfId="0" applyNumberFormat="1" applyFont="1" applyFill="1" applyBorder="1" applyAlignment="1">
      <alignment horizontal="left"/>
    </xf>
    <xf numFmtId="0" fontId="128" fillId="6" borderId="1" xfId="0" applyFont="1" applyFill="1" applyBorder="1"/>
    <xf numFmtId="3" fontId="128" fillId="6" borderId="1" xfId="0" applyNumberFormat="1" applyFont="1" applyFill="1" applyBorder="1"/>
    <xf numFmtId="167" fontId="0" fillId="6" borderId="1" xfId="0" applyNumberFormat="1" applyFill="1" applyBorder="1"/>
    <xf numFmtId="37" fontId="128" fillId="6" borderId="1" xfId="0" applyNumberFormat="1" applyFont="1" applyFill="1" applyBorder="1" applyAlignment="1">
      <alignment horizontal="center"/>
    </xf>
    <xf numFmtId="0" fontId="128" fillId="6" borderId="1" xfId="0" applyFont="1" applyFill="1" applyBorder="1" applyAlignment="1">
      <alignment horizontal="center"/>
    </xf>
    <xf numFmtId="0" fontId="129" fillId="6" borderId="1" xfId="0" applyFont="1" applyFill="1" applyBorder="1" applyAlignment="1">
      <alignment horizontal="center"/>
    </xf>
    <xf numFmtId="0" fontId="130" fillId="6" borderId="0" xfId="0" applyFont="1" applyFill="1" applyAlignment="1">
      <alignment horizontal="center"/>
    </xf>
    <xf numFmtId="37" fontId="130" fillId="6" borderId="1" xfId="0" applyNumberFormat="1" applyFont="1" applyFill="1" applyBorder="1" applyAlignment="1">
      <alignment horizontal="center"/>
    </xf>
    <xf numFmtId="0" fontId="128" fillId="6" borderId="1" xfId="0" applyFont="1" applyFill="1" applyBorder="1" applyAlignment="1">
      <alignment horizontal="left"/>
    </xf>
    <xf numFmtId="0" fontId="128" fillId="38" borderId="1" xfId="0" applyFont="1" applyFill="1" applyBorder="1" applyAlignment="1">
      <alignment horizontal="left"/>
    </xf>
    <xf numFmtId="0" fontId="128" fillId="38" borderId="1" xfId="0" applyFont="1" applyFill="1" applyBorder="1"/>
    <xf numFmtId="3" fontId="0" fillId="38" borderId="1" xfId="0" applyNumberFormat="1" applyFill="1" applyBorder="1"/>
    <xf numFmtId="37" fontId="128" fillId="38" borderId="1" xfId="0" applyNumberFormat="1" applyFont="1" applyFill="1" applyBorder="1" applyAlignment="1">
      <alignment horizontal="center"/>
    </xf>
    <xf numFmtId="0" fontId="128" fillId="38" borderId="1" xfId="0" applyFont="1" applyFill="1" applyBorder="1" applyAlignment="1">
      <alignment horizontal="center"/>
    </xf>
    <xf numFmtId="0" fontId="129" fillId="38" borderId="1" xfId="0" applyFont="1" applyFill="1" applyBorder="1" applyAlignment="1">
      <alignment horizontal="center"/>
    </xf>
    <xf numFmtId="0" fontId="130" fillId="38" borderId="0" xfId="0" applyFont="1" applyFill="1" applyAlignment="1">
      <alignment horizontal="center"/>
    </xf>
    <xf numFmtId="37" fontId="130" fillId="38" borderId="1" xfId="0" applyNumberFormat="1" applyFont="1" applyFill="1" applyBorder="1" applyAlignment="1">
      <alignment horizontal="center"/>
    </xf>
    <xf numFmtId="0" fontId="0" fillId="38" borderId="0" xfId="0" applyFill="1"/>
    <xf numFmtId="0" fontId="73" fillId="22" borderId="21" xfId="0" applyFont="1" applyFill="1" applyBorder="1" applyAlignment="1">
      <alignment horizontal="center"/>
    </xf>
    <xf numFmtId="0" fontId="117" fillId="7" borderId="29" xfId="0" applyFont="1" applyFill="1" applyBorder="1" applyAlignment="1">
      <alignment horizontal="center" vertical="center" wrapText="1"/>
    </xf>
    <xf numFmtId="0" fontId="117" fillId="7" borderId="34" xfId="0" applyFont="1" applyFill="1" applyBorder="1" applyAlignment="1">
      <alignment horizontal="center" vertical="center" wrapText="1"/>
    </xf>
    <xf numFmtId="41" fontId="117" fillId="7" borderId="29" xfId="9" applyFont="1" applyFill="1" applyBorder="1" applyAlignment="1">
      <alignment horizontal="center"/>
    </xf>
    <xf numFmtId="41" fontId="117" fillId="7" borderId="31" xfId="9" applyFont="1" applyFill="1" applyBorder="1" applyAlignment="1">
      <alignment horizontal="center"/>
    </xf>
    <xf numFmtId="41" fontId="117" fillId="7" borderId="30" xfId="9" applyFont="1" applyFill="1" applyBorder="1" applyAlignment="1">
      <alignment horizontal="center"/>
    </xf>
    <xf numFmtId="41" fontId="117" fillId="7" borderId="21" xfId="9" applyFont="1" applyFill="1" applyBorder="1" applyAlignment="1">
      <alignment horizontal="center"/>
    </xf>
    <xf numFmtId="41" fontId="117" fillId="7" borderId="26" xfId="9" applyFont="1" applyFill="1" applyBorder="1" applyAlignment="1">
      <alignment horizontal="center"/>
    </xf>
    <xf numFmtId="0" fontId="67" fillId="7" borderId="21" xfId="0" applyFont="1" applyFill="1" applyBorder="1" applyAlignment="1">
      <alignment horizontal="center" vertical="center" wrapText="1"/>
    </xf>
    <xf numFmtId="0" fontId="67" fillId="7" borderId="25" xfId="0" applyFont="1" applyFill="1" applyBorder="1" applyAlignment="1">
      <alignment horizontal="center" vertical="center" wrapText="1"/>
    </xf>
    <xf numFmtId="0" fontId="67" fillId="7" borderId="26" xfId="0" applyFont="1" applyFill="1" applyBorder="1" applyAlignment="1">
      <alignment horizontal="center" vertical="center" wrapText="1"/>
    </xf>
    <xf numFmtId="41" fontId="98" fillId="8" borderId="44" xfId="9" applyFont="1" applyFill="1" applyBorder="1" applyAlignment="1">
      <alignment horizontal="center"/>
    </xf>
    <xf numFmtId="41" fontId="98" fillId="8" borderId="45" xfId="9" applyFont="1" applyFill="1" applyBorder="1" applyAlignment="1">
      <alignment horizontal="center"/>
    </xf>
    <xf numFmtId="0" fontId="82" fillId="8" borderId="0" xfId="0" applyFont="1" applyFill="1" applyAlignment="1">
      <alignment horizontal="center" vertical="center" wrapText="1"/>
    </xf>
    <xf numFmtId="0" fontId="82" fillId="8" borderId="0" xfId="0" applyFont="1" applyFill="1" applyAlignment="1">
      <alignment horizontal="justify" vertical="center" wrapText="1"/>
    </xf>
    <xf numFmtId="0" fontId="120" fillId="6" borderId="1" xfId="0" applyFont="1" applyFill="1" applyBorder="1" applyAlignment="1">
      <alignment horizontal="center"/>
    </xf>
    <xf numFmtId="0" fontId="101" fillId="8" borderId="1" xfId="0" applyFont="1" applyFill="1" applyBorder="1" applyAlignment="1">
      <alignment horizontal="center" vertical="center" wrapText="1"/>
    </xf>
    <xf numFmtId="41" fontId="105" fillId="23" borderId="69" xfId="9" applyFont="1" applyFill="1" applyBorder="1" applyAlignment="1">
      <alignment horizontal="center"/>
    </xf>
    <xf numFmtId="41" fontId="105" fillId="23" borderId="31" xfId="9" applyFont="1" applyFill="1" applyBorder="1" applyAlignment="1">
      <alignment horizontal="center"/>
    </xf>
    <xf numFmtId="41" fontId="98" fillId="8" borderId="0" xfId="9" applyFont="1" applyFill="1" applyBorder="1" applyAlignment="1">
      <alignment horizontal="center"/>
    </xf>
    <xf numFmtId="41" fontId="98" fillId="8" borderId="15" xfId="9" applyFont="1" applyFill="1" applyBorder="1" applyAlignment="1">
      <alignment horizontal="center"/>
    </xf>
    <xf numFmtId="0" fontId="119" fillId="8" borderId="0" xfId="0" applyFont="1" applyFill="1" applyAlignment="1">
      <alignment horizontal="center" vertical="center" wrapText="1"/>
    </xf>
    <xf numFmtId="0" fontId="112" fillId="8" borderId="0" xfId="0" applyFont="1" applyFill="1" applyAlignment="1">
      <alignment horizontal="center" vertical="center" wrapText="1"/>
    </xf>
    <xf numFmtId="0" fontId="112" fillId="8" borderId="33" xfId="0" applyFont="1" applyFill="1" applyBorder="1" applyAlignment="1">
      <alignment horizontal="center" vertical="center" wrapText="1"/>
    </xf>
    <xf numFmtId="0" fontId="83" fillId="8" borderId="0" xfId="0" applyFont="1" applyFill="1" applyAlignment="1">
      <alignment horizontal="center" vertical="center" wrapText="1"/>
    </xf>
    <xf numFmtId="0" fontId="83" fillId="8" borderId="33" xfId="0" applyFont="1" applyFill="1" applyBorder="1" applyAlignment="1">
      <alignment horizontal="center" vertical="center" wrapText="1"/>
    </xf>
    <xf numFmtId="0" fontId="83" fillId="8" borderId="21" xfId="0" applyFont="1" applyFill="1" applyBorder="1" applyAlignment="1">
      <alignment horizontal="left" wrapText="1"/>
    </xf>
    <xf numFmtId="0" fontId="82" fillId="8" borderId="25" xfId="0" applyFont="1" applyFill="1" applyBorder="1" applyAlignment="1">
      <alignment horizontal="left" wrapText="1"/>
    </xf>
    <xf numFmtId="0" fontId="82" fillId="8" borderId="26" xfId="0" applyFont="1" applyFill="1" applyBorder="1" applyAlignment="1">
      <alignment horizontal="left" wrapText="1"/>
    </xf>
    <xf numFmtId="0" fontId="82" fillId="8" borderId="29" xfId="0" applyFont="1" applyFill="1" applyBorder="1" applyAlignment="1">
      <alignment horizontal="left" wrapText="1"/>
    </xf>
    <xf numFmtId="0" fontId="82" fillId="8" borderId="30" xfId="0" applyFont="1" applyFill="1" applyBorder="1" applyAlignment="1">
      <alignment horizontal="left" wrapText="1"/>
    </xf>
    <xf numFmtId="0" fontId="82" fillId="8" borderId="31" xfId="0" applyFont="1" applyFill="1" applyBorder="1" applyAlignment="1">
      <alignment horizontal="left" wrapText="1"/>
    </xf>
    <xf numFmtId="0" fontId="82" fillId="8" borderId="32" xfId="0" applyFont="1" applyFill="1" applyBorder="1" applyAlignment="1">
      <alignment horizontal="left" wrapText="1"/>
    </xf>
    <xf numFmtId="0" fontId="82" fillId="8" borderId="0" xfId="0" applyFont="1" applyFill="1" applyAlignment="1">
      <alignment horizontal="left" wrapText="1"/>
    </xf>
    <xf numFmtId="0" fontId="82" fillId="8" borderId="33" xfId="0" applyFont="1" applyFill="1" applyBorder="1" applyAlignment="1">
      <alignment horizontal="left" wrapText="1"/>
    </xf>
    <xf numFmtId="0" fontId="83" fillId="8" borderId="32" xfId="0" applyFont="1" applyFill="1" applyBorder="1" applyAlignment="1">
      <alignment horizontal="left" wrapText="1"/>
    </xf>
    <xf numFmtId="0" fontId="82" fillId="8" borderId="0" xfId="0" applyFont="1" applyFill="1" applyAlignment="1">
      <alignment horizontal="left"/>
    </xf>
    <xf numFmtId="0" fontId="82" fillId="8" borderId="33" xfId="0" applyFont="1" applyFill="1" applyBorder="1" applyAlignment="1">
      <alignment horizontal="left"/>
    </xf>
    <xf numFmtId="0" fontId="82" fillId="8" borderId="21" xfId="0" applyFont="1" applyFill="1" applyBorder="1" applyAlignment="1">
      <alignment horizontal="left" wrapText="1"/>
    </xf>
    <xf numFmtId="0" fontId="82" fillId="8" borderId="25" xfId="0" applyFont="1" applyFill="1" applyBorder="1" applyAlignment="1">
      <alignment horizontal="left"/>
    </xf>
    <xf numFmtId="0" fontId="82" fillId="8" borderId="26" xfId="0" applyFont="1" applyFill="1" applyBorder="1" applyAlignment="1">
      <alignment horizontal="left"/>
    </xf>
    <xf numFmtId="41" fontId="105" fillId="23" borderId="5" xfId="9" applyFont="1" applyFill="1" applyBorder="1" applyAlignment="1">
      <alignment horizontal="center"/>
    </xf>
    <xf numFmtId="41" fontId="105" fillId="23" borderId="0" xfId="9" applyFont="1" applyFill="1" applyBorder="1" applyAlignment="1">
      <alignment horizontal="center"/>
    </xf>
    <xf numFmtId="41" fontId="98" fillId="7" borderId="13" xfId="9" applyFont="1" applyFill="1" applyBorder="1" applyAlignment="1">
      <alignment horizontal="center"/>
    </xf>
    <xf numFmtId="41" fontId="98" fillId="8" borderId="39" xfId="9" applyFont="1" applyFill="1" applyBorder="1" applyAlignment="1">
      <alignment horizontal="center"/>
    </xf>
    <xf numFmtId="41" fontId="98" fillId="8" borderId="37" xfId="9" applyFont="1" applyFill="1" applyBorder="1" applyAlignment="1">
      <alignment horizontal="center"/>
    </xf>
    <xf numFmtId="0" fontId="89" fillId="24" borderId="21" xfId="0" applyFont="1" applyFill="1" applyBorder="1" applyAlignment="1">
      <alignment horizontal="center"/>
    </xf>
    <xf numFmtId="0" fontId="89" fillId="24" borderId="25" xfId="0" applyFont="1" applyFill="1" applyBorder="1" applyAlignment="1">
      <alignment horizontal="center"/>
    </xf>
    <xf numFmtId="0" fontId="89" fillId="24" borderId="26" xfId="0" applyFont="1" applyFill="1" applyBorder="1" applyAlignment="1">
      <alignment horizontal="center"/>
    </xf>
    <xf numFmtId="0" fontId="69" fillId="6" borderId="21" xfId="0" applyFont="1" applyFill="1" applyBorder="1" applyAlignment="1">
      <alignment horizontal="left"/>
    </xf>
    <xf numFmtId="0" fontId="69" fillId="6" borderId="25" xfId="0" applyFont="1" applyFill="1" applyBorder="1" applyAlignment="1">
      <alignment horizontal="left"/>
    </xf>
    <xf numFmtId="0" fontId="69" fillId="6" borderId="26" xfId="0" applyFont="1" applyFill="1" applyBorder="1" applyAlignment="1">
      <alignment horizontal="left"/>
    </xf>
    <xf numFmtId="41" fontId="71" fillId="8" borderId="29" xfId="0" applyNumberFormat="1" applyFont="1" applyFill="1" applyBorder="1" applyAlignment="1">
      <alignment horizontal="center" vertical="center" wrapText="1"/>
    </xf>
    <xf numFmtId="0" fontId="71" fillId="8" borderId="30" xfId="0" applyFont="1" applyFill="1" applyBorder="1" applyAlignment="1">
      <alignment horizontal="center" vertical="center" wrapText="1"/>
    </xf>
    <xf numFmtId="0" fontId="71" fillId="8" borderId="31" xfId="0" applyFont="1" applyFill="1" applyBorder="1" applyAlignment="1">
      <alignment horizontal="center" vertical="center" wrapText="1"/>
    </xf>
    <xf numFmtId="0" fontId="71" fillId="8" borderId="34" xfId="0" applyFont="1" applyFill="1" applyBorder="1" applyAlignment="1">
      <alignment horizontal="center" vertical="center" wrapText="1"/>
    </xf>
    <xf numFmtId="0" fontId="71" fillId="8" borderId="18" xfId="0" applyFont="1" applyFill="1" applyBorder="1" applyAlignment="1">
      <alignment horizontal="center" vertical="center" wrapText="1"/>
    </xf>
    <xf numFmtId="0" fontId="71" fillId="8" borderId="35" xfId="0" applyFont="1" applyFill="1" applyBorder="1" applyAlignment="1">
      <alignment horizontal="center" vertical="center" wrapText="1"/>
    </xf>
    <xf numFmtId="0" fontId="127" fillId="8" borderId="13" xfId="0" applyFont="1" applyFill="1" applyBorder="1" applyAlignment="1">
      <alignment horizontal="center" vertical="center"/>
    </xf>
    <xf numFmtId="0" fontId="127" fillId="8" borderId="15" xfId="0" applyFont="1" applyFill="1" applyBorder="1" applyAlignment="1">
      <alignment horizontal="center" vertical="center"/>
    </xf>
    <xf numFmtId="0" fontId="123" fillId="8" borderId="0" xfId="0" applyFont="1" applyFill="1" applyAlignment="1">
      <alignment horizontal="left"/>
    </xf>
    <xf numFmtId="0" fontId="123" fillId="8" borderId="0" xfId="0" applyFont="1" applyFill="1" applyAlignment="1">
      <alignment horizontal="center"/>
    </xf>
    <xf numFmtId="0" fontId="137" fillId="6" borderId="27" xfId="0" applyFont="1" applyFill="1" applyBorder="1" applyAlignment="1">
      <alignment horizontal="left" vertical="center" wrapText="1"/>
    </xf>
    <xf numFmtId="0" fontId="137" fillId="6" borderId="36" xfId="0" applyFont="1" applyFill="1" applyBorder="1" applyAlignment="1">
      <alignment horizontal="left" vertical="center" wrapText="1"/>
    </xf>
    <xf numFmtId="0" fontId="137" fillId="8" borderId="27" xfId="0" applyFont="1" applyFill="1" applyBorder="1" applyAlignment="1">
      <alignment horizontal="left" vertical="center" wrapText="1"/>
    </xf>
    <xf numFmtId="0" fontId="137" fillId="8" borderId="28" xfId="0" applyFont="1" applyFill="1" applyBorder="1" applyAlignment="1">
      <alignment horizontal="left" vertical="center" wrapText="1"/>
    </xf>
    <xf numFmtId="0" fontId="137" fillId="8" borderId="36" xfId="0" applyFont="1" applyFill="1" applyBorder="1" applyAlignment="1">
      <alignment horizontal="left" vertical="center" wrapText="1"/>
    </xf>
    <xf numFmtId="0" fontId="66" fillId="16" borderId="21" xfId="0" applyFont="1" applyFill="1" applyBorder="1" applyAlignment="1">
      <alignment horizontal="center" vertical="center" wrapText="1"/>
    </xf>
    <xf numFmtId="0" fontId="66" fillId="16" borderId="25"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16" borderId="27" xfId="0" applyFont="1" applyFill="1" applyBorder="1" applyAlignment="1">
      <alignment vertical="center" wrapText="1"/>
    </xf>
    <xf numFmtId="0" fontId="66" fillId="16" borderId="36" xfId="0" applyFont="1" applyFill="1" applyBorder="1" applyAlignment="1">
      <alignment vertical="center" wrapText="1"/>
    </xf>
    <xf numFmtId="0" fontId="66" fillId="14" borderId="0" xfId="0" applyFont="1" applyFill="1" applyAlignment="1">
      <alignment horizontal="center"/>
    </xf>
    <xf numFmtId="0" fontId="66" fillId="16" borderId="27" xfId="0" applyFont="1" applyFill="1" applyBorder="1" applyAlignment="1">
      <alignment horizontal="center" vertical="center" wrapText="1"/>
    </xf>
    <xf numFmtId="0" fontId="66" fillId="16" borderId="36" xfId="0" applyFont="1" applyFill="1" applyBorder="1" applyAlignment="1">
      <alignment horizontal="center" vertical="center" wrapText="1"/>
    </xf>
    <xf numFmtId="0" fontId="82" fillId="6" borderId="27" xfId="0" applyFont="1" applyFill="1" applyBorder="1" applyAlignment="1">
      <alignment horizontal="justify" vertical="center" wrapText="1"/>
    </xf>
    <xf numFmtId="0" fontId="82" fillId="6" borderId="28" xfId="0" applyFont="1" applyFill="1" applyBorder="1" applyAlignment="1">
      <alignment horizontal="justify" vertical="center" wrapText="1"/>
    </xf>
    <xf numFmtId="0" fontId="82" fillId="6" borderId="36" xfId="0" applyFont="1" applyFill="1" applyBorder="1" applyAlignment="1">
      <alignment horizontal="justify" vertical="center" wrapText="1"/>
    </xf>
    <xf numFmtId="0" fontId="82" fillId="26" borderId="27" xfId="0" applyFont="1" applyFill="1" applyBorder="1" applyAlignment="1">
      <alignment horizontal="center" vertical="center" wrapText="1"/>
    </xf>
    <xf numFmtId="0" fontId="82" fillId="26" borderId="36" xfId="0" applyFont="1" applyFill="1" applyBorder="1" applyAlignment="1">
      <alignment horizontal="center" vertical="center" wrapText="1"/>
    </xf>
    <xf numFmtId="0" fontId="82" fillId="6" borderId="27" xfId="0" applyFont="1" applyFill="1" applyBorder="1" applyAlignment="1">
      <alignment horizontal="center" vertical="center" wrapText="1"/>
    </xf>
    <xf numFmtId="0" fontId="82" fillId="6" borderId="28" xfId="0" applyFont="1" applyFill="1" applyBorder="1" applyAlignment="1">
      <alignment horizontal="center" vertical="center" wrapText="1"/>
    </xf>
    <xf numFmtId="0" fontId="82" fillId="6" borderId="36" xfId="0" applyFont="1" applyFill="1" applyBorder="1" applyAlignment="1">
      <alignment horizontal="center" vertical="center" wrapText="1"/>
    </xf>
    <xf numFmtId="0" fontId="82" fillId="15" borderId="27" xfId="0" applyFont="1" applyFill="1" applyBorder="1" applyAlignment="1">
      <alignment horizontal="center" vertical="center" wrapText="1"/>
    </xf>
    <xf numFmtId="0" fontId="82" fillId="15" borderId="36" xfId="0" applyFont="1" applyFill="1" applyBorder="1" applyAlignment="1">
      <alignment horizontal="center" vertical="center" wrapText="1"/>
    </xf>
    <xf numFmtId="0" fontId="82" fillId="8" borderId="21" xfId="0" applyFont="1" applyFill="1" applyBorder="1" applyAlignment="1">
      <alignment horizontal="left" vertical="center" wrapText="1"/>
    </xf>
    <xf numFmtId="0" fontId="82" fillId="8" borderId="25" xfId="0" applyFont="1" applyFill="1" applyBorder="1" applyAlignment="1">
      <alignment horizontal="left" vertical="center" wrapText="1"/>
    </xf>
    <xf numFmtId="0" fontId="82" fillId="8" borderId="26" xfId="0" applyFont="1" applyFill="1" applyBorder="1" applyAlignment="1">
      <alignment horizontal="left" vertical="center" wrapText="1"/>
    </xf>
    <xf numFmtId="0" fontId="118" fillId="7" borderId="29" xfId="0" applyFont="1" applyFill="1" applyBorder="1" applyAlignment="1">
      <alignment horizontal="left" vertical="center" wrapText="1"/>
    </xf>
    <xf numFmtId="0" fontId="118" fillId="7" borderId="30" xfId="0" applyFont="1" applyFill="1" applyBorder="1" applyAlignment="1">
      <alignment horizontal="left" vertical="center" wrapText="1"/>
    </xf>
    <xf numFmtId="0" fontId="118" fillId="7" borderId="31" xfId="0" applyFont="1" applyFill="1" applyBorder="1" applyAlignment="1">
      <alignment horizontal="left" vertical="center" wrapText="1"/>
    </xf>
    <xf numFmtId="0" fontId="118" fillId="7" borderId="34" xfId="0" applyFont="1" applyFill="1" applyBorder="1" applyAlignment="1">
      <alignment horizontal="left" vertical="center" wrapText="1"/>
    </xf>
    <xf numFmtId="0" fontId="118" fillId="7" borderId="18" xfId="0" applyFont="1" applyFill="1" applyBorder="1" applyAlignment="1">
      <alignment horizontal="left" vertical="center" wrapText="1"/>
    </xf>
    <xf numFmtId="0" fontId="118" fillId="7" borderId="35" xfId="0" applyFont="1" applyFill="1" applyBorder="1" applyAlignment="1">
      <alignment horizontal="left" vertical="center" wrapText="1"/>
    </xf>
    <xf numFmtId="0" fontId="87" fillId="7" borderId="29" xfId="0" applyFont="1" applyFill="1" applyBorder="1" applyAlignment="1">
      <alignment horizontal="center" vertical="center"/>
    </xf>
    <xf numFmtId="0" fontId="87" fillId="7" borderId="34" xfId="0" applyFont="1" applyFill="1" applyBorder="1" applyAlignment="1">
      <alignment horizontal="center" vertical="center"/>
    </xf>
    <xf numFmtId="0" fontId="82" fillId="8" borderId="0" xfId="0" applyFont="1" applyFill="1" applyAlignment="1">
      <alignment horizontal="left" vertical="center" wrapText="1"/>
    </xf>
    <xf numFmtId="0" fontId="83" fillId="8" borderId="0" xfId="0" applyFont="1" applyFill="1" applyAlignment="1">
      <alignment horizontal="left" vertical="center" wrapText="1"/>
    </xf>
    <xf numFmtId="0" fontId="113" fillId="8" borderId="0" xfId="0" applyFont="1" applyFill="1" applyAlignment="1">
      <alignment horizontal="left" vertical="center" wrapText="1"/>
    </xf>
    <xf numFmtId="0" fontId="112" fillId="8" borderId="0" xfId="0" applyFont="1" applyFill="1" applyAlignment="1">
      <alignment horizontal="left" vertical="center" wrapText="1"/>
    </xf>
    <xf numFmtId="0" fontId="119" fillId="8" borderId="0" xfId="0" applyFont="1" applyFill="1" applyAlignment="1">
      <alignment horizontal="left" vertical="center" wrapText="1"/>
    </xf>
    <xf numFmtId="0" fontId="75" fillId="14" borderId="0" xfId="0" applyFont="1" applyFill="1" applyAlignment="1">
      <alignment horizontal="left"/>
    </xf>
    <xf numFmtId="0" fontId="73" fillId="22" borderId="25" xfId="0" applyFont="1" applyFill="1" applyBorder="1" applyAlignment="1">
      <alignment horizontal="center"/>
    </xf>
    <xf numFmtId="0" fontId="73" fillId="22" borderId="26" xfId="0" applyFont="1" applyFill="1" applyBorder="1" applyAlignment="1">
      <alignment horizontal="center"/>
    </xf>
    <xf numFmtId="0" fontId="80" fillId="0" borderId="10" xfId="0" applyFont="1" applyBorder="1" applyAlignment="1">
      <alignment horizontal="center" vertical="center" wrapText="1"/>
    </xf>
    <xf numFmtId="0" fontId="80" fillId="0" borderId="11" xfId="0" applyFont="1" applyBorder="1" applyAlignment="1">
      <alignment horizontal="center" vertical="center" wrapText="1"/>
    </xf>
    <xf numFmtId="0" fontId="80" fillId="0" borderId="12" xfId="0" applyFont="1" applyBorder="1" applyAlignment="1">
      <alignment horizontal="center" vertical="center" wrapText="1"/>
    </xf>
    <xf numFmtId="0" fontId="87" fillId="8" borderId="2" xfId="0" applyFont="1" applyFill="1" applyBorder="1" applyAlignment="1">
      <alignment horizontal="left" vertical="center" wrapText="1"/>
    </xf>
    <xf numFmtId="0" fontId="87" fillId="8" borderId="3" xfId="0" applyFont="1" applyFill="1" applyBorder="1" applyAlignment="1">
      <alignment horizontal="left" vertical="center" wrapText="1"/>
    </xf>
    <xf numFmtId="0" fontId="87" fillId="8" borderId="4" xfId="0" applyFont="1" applyFill="1" applyBorder="1" applyAlignment="1">
      <alignment horizontal="left" vertical="center" wrapText="1"/>
    </xf>
    <xf numFmtId="0" fontId="87" fillId="8" borderId="7" xfId="0" applyFont="1" applyFill="1" applyBorder="1" applyAlignment="1">
      <alignment horizontal="left" vertical="center" wrapText="1"/>
    </xf>
    <xf numFmtId="0" fontId="87" fillId="8" borderId="8" xfId="0" applyFont="1" applyFill="1" applyBorder="1" applyAlignment="1">
      <alignment horizontal="left" vertical="center" wrapText="1"/>
    </xf>
    <xf numFmtId="0" fontId="87" fillId="8" borderId="9" xfId="0" applyFont="1" applyFill="1" applyBorder="1" applyAlignment="1">
      <alignment horizontal="left" vertical="center" wrapText="1"/>
    </xf>
    <xf numFmtId="0" fontId="87" fillId="7" borderId="1" xfId="0" applyFont="1" applyFill="1" applyBorder="1" applyAlignment="1">
      <alignment vertical="center" wrapText="1"/>
    </xf>
    <xf numFmtId="0" fontId="87" fillId="7" borderId="30" xfId="0" applyFont="1" applyFill="1" applyBorder="1" applyAlignment="1">
      <alignment horizontal="center" vertical="center"/>
    </xf>
    <xf numFmtId="0" fontId="87" fillId="7" borderId="18" xfId="0" applyFont="1" applyFill="1" applyBorder="1" applyAlignment="1">
      <alignment horizontal="center" vertical="center"/>
    </xf>
    <xf numFmtId="0" fontId="87" fillId="7" borderId="27" xfId="0" applyFont="1" applyFill="1" applyBorder="1" applyAlignment="1">
      <alignment horizontal="center" vertical="center"/>
    </xf>
    <xf numFmtId="0" fontId="87" fillId="7" borderId="36" xfId="0" applyFont="1" applyFill="1" applyBorder="1" applyAlignment="1">
      <alignment horizontal="center" vertical="center"/>
    </xf>
    <xf numFmtId="0" fontId="80" fillId="8" borderId="2" xfId="0" applyFont="1" applyFill="1" applyBorder="1" applyAlignment="1">
      <alignment horizontal="left" vertical="center" wrapText="1"/>
    </xf>
    <xf numFmtId="0" fontId="80" fillId="8" borderId="3" xfId="0" applyFont="1" applyFill="1" applyBorder="1" applyAlignment="1">
      <alignment horizontal="left" vertical="center" wrapText="1"/>
    </xf>
    <xf numFmtId="0" fontId="80" fillId="8" borderId="4" xfId="0" applyFont="1" applyFill="1" applyBorder="1" applyAlignment="1">
      <alignment horizontal="left" vertical="center" wrapText="1"/>
    </xf>
    <xf numFmtId="0" fontId="80" fillId="8" borderId="7" xfId="0" applyFont="1" applyFill="1" applyBorder="1" applyAlignment="1">
      <alignment horizontal="left" vertical="center" wrapText="1"/>
    </xf>
    <xf numFmtId="0" fontId="80" fillId="8" borderId="8" xfId="0" applyFont="1" applyFill="1" applyBorder="1" applyAlignment="1">
      <alignment horizontal="left" vertical="center" wrapText="1"/>
    </xf>
    <xf numFmtId="0" fontId="80" fillId="8" borderId="9" xfId="0" applyFont="1" applyFill="1" applyBorder="1" applyAlignment="1">
      <alignment horizontal="left" vertical="center" wrapText="1"/>
    </xf>
    <xf numFmtId="0" fontId="80" fillId="8" borderId="29" xfId="0" applyFont="1" applyFill="1" applyBorder="1" applyAlignment="1">
      <alignment vertical="center" wrapText="1"/>
    </xf>
    <xf numFmtId="0" fontId="80" fillId="8" borderId="30" xfId="0" applyFont="1" applyFill="1" applyBorder="1" applyAlignment="1">
      <alignment vertical="center" wrapText="1"/>
    </xf>
    <xf numFmtId="0" fontId="80" fillId="8" borderId="31" xfId="0" applyFont="1" applyFill="1" applyBorder="1" applyAlignment="1">
      <alignment vertical="center" wrapText="1"/>
    </xf>
    <xf numFmtId="0" fontId="80" fillId="8" borderId="32" xfId="0" applyFont="1" applyFill="1" applyBorder="1" applyAlignment="1">
      <alignment vertical="center" wrapText="1"/>
    </xf>
    <xf numFmtId="0" fontId="80" fillId="8" borderId="0" xfId="0" applyFont="1" applyFill="1" applyAlignment="1">
      <alignment vertical="center" wrapText="1"/>
    </xf>
    <xf numFmtId="0" fontId="80" fillId="8" borderId="33" xfId="0" applyFont="1" applyFill="1" applyBorder="1" applyAlignment="1">
      <alignment vertical="center" wrapText="1"/>
    </xf>
    <xf numFmtId="0" fontId="80" fillId="8" borderId="34" xfId="0" applyFont="1" applyFill="1" applyBorder="1" applyAlignment="1">
      <alignment vertical="center" wrapText="1"/>
    </xf>
    <xf numFmtId="0" fontId="80" fillId="8" borderId="18" xfId="0" applyFont="1" applyFill="1" applyBorder="1" applyAlignment="1">
      <alignment vertical="center" wrapText="1"/>
    </xf>
    <xf numFmtId="0" fontId="80" fillId="8" borderId="35" xfId="0" applyFont="1" applyFill="1" applyBorder="1" applyAlignment="1">
      <alignment vertical="center" wrapText="1"/>
    </xf>
    <xf numFmtId="0" fontId="54" fillId="8" borderId="15" xfId="0" applyFont="1" applyFill="1" applyBorder="1" applyAlignment="1">
      <alignment horizontal="center"/>
    </xf>
    <xf numFmtId="0" fontId="54" fillId="8" borderId="1" xfId="0" applyFont="1" applyFill="1" applyBorder="1" applyAlignment="1">
      <alignment horizontal="center"/>
    </xf>
    <xf numFmtId="0" fontId="55" fillId="8" borderId="21" xfId="0" applyFont="1" applyFill="1" applyBorder="1" applyAlignment="1">
      <alignment horizontal="center"/>
    </xf>
    <xf numFmtId="0" fontId="55" fillId="8" borderId="25" xfId="0" applyFont="1" applyFill="1" applyBorder="1" applyAlignment="1">
      <alignment horizontal="center"/>
    </xf>
    <xf numFmtId="0" fontId="55" fillId="8" borderId="26" xfId="0" applyFont="1" applyFill="1" applyBorder="1" applyAlignment="1">
      <alignment horizontal="center"/>
    </xf>
    <xf numFmtId="0" fontId="54" fillId="6" borderId="21" xfId="0" applyFont="1" applyFill="1" applyBorder="1" applyAlignment="1">
      <alignment horizontal="left"/>
    </xf>
    <xf numFmtId="0" fontId="54" fillId="6" borderId="25" xfId="0" applyFont="1" applyFill="1" applyBorder="1" applyAlignment="1">
      <alignment horizontal="left"/>
    </xf>
    <xf numFmtId="0" fontId="54" fillId="6" borderId="26" xfId="0" applyFont="1" applyFill="1" applyBorder="1" applyAlignment="1">
      <alignment horizontal="left"/>
    </xf>
    <xf numFmtId="0" fontId="54" fillId="0" borderId="21" xfId="0" applyFont="1" applyBorder="1" applyAlignment="1">
      <alignment vertical="center" wrapText="1"/>
    </xf>
    <xf numFmtId="0" fontId="54" fillId="0" borderId="25" xfId="0" applyFont="1" applyBorder="1" applyAlignment="1">
      <alignment vertical="center" wrapText="1"/>
    </xf>
    <xf numFmtId="0" fontId="54" fillId="8" borderId="0" xfId="0" applyFont="1" applyFill="1" applyAlignment="1">
      <alignment horizontal="left" vertical="center" wrapText="1"/>
    </xf>
    <xf numFmtId="0" fontId="54" fillId="8" borderId="33" xfId="0" applyFont="1" applyFill="1" applyBorder="1" applyAlignment="1">
      <alignment horizontal="left" vertical="center" wrapText="1"/>
    </xf>
    <xf numFmtId="0" fontId="82" fillId="8" borderId="0" xfId="0" applyFont="1" applyFill="1" applyAlignment="1">
      <alignment vertical="center"/>
    </xf>
    <xf numFmtId="0" fontId="82" fillId="22" borderId="29" xfId="0" applyFont="1" applyFill="1" applyBorder="1" applyAlignment="1">
      <alignment horizontal="left" vertical="center" wrapText="1"/>
    </xf>
    <xf numFmtId="0" fontId="82" fillId="22" borderId="30" xfId="0" applyFont="1" applyFill="1" applyBorder="1" applyAlignment="1">
      <alignment horizontal="left" vertical="center" wrapText="1"/>
    </xf>
    <xf numFmtId="0" fontId="82" fillId="22" borderId="31" xfId="0" applyFont="1" applyFill="1" applyBorder="1" applyAlignment="1">
      <alignment horizontal="left" vertical="center" wrapText="1"/>
    </xf>
    <xf numFmtId="0" fontId="82" fillId="22" borderId="34" xfId="0" applyFont="1" applyFill="1" applyBorder="1" applyAlignment="1">
      <alignment horizontal="left" vertical="center" wrapText="1"/>
    </xf>
    <xf numFmtId="0" fontId="82" fillId="22" borderId="18" xfId="0" applyFont="1" applyFill="1" applyBorder="1" applyAlignment="1">
      <alignment horizontal="left" vertical="center" wrapText="1"/>
    </xf>
    <xf numFmtId="0" fontId="82" fillId="22" borderId="35" xfId="0" applyFont="1" applyFill="1" applyBorder="1" applyAlignment="1">
      <alignment horizontal="left" vertical="center" wrapText="1"/>
    </xf>
    <xf numFmtId="0" fontId="83" fillId="8" borderId="0" xfId="0" applyFont="1" applyFill="1" applyAlignment="1">
      <alignment horizontal="left" vertical="center"/>
    </xf>
    <xf numFmtId="0" fontId="69" fillId="8" borderId="21" xfId="0" applyFont="1" applyFill="1" applyBorder="1" applyAlignment="1">
      <alignment horizontal="center"/>
    </xf>
    <xf numFmtId="0" fontId="69" fillId="8" borderId="25" xfId="0" applyFont="1" applyFill="1" applyBorder="1" applyAlignment="1">
      <alignment horizontal="center"/>
    </xf>
    <xf numFmtId="0" fontId="69" fillId="8" borderId="26" xfId="0" applyFont="1" applyFill="1" applyBorder="1" applyAlignment="1">
      <alignment horizontal="center"/>
    </xf>
    <xf numFmtId="0" fontId="82" fillId="8" borderId="0" xfId="0" applyFont="1" applyFill="1" applyAlignment="1">
      <alignment horizontal="left" vertical="center"/>
    </xf>
    <xf numFmtId="0" fontId="71" fillId="8" borderId="0" xfId="0" applyFont="1" applyFill="1" applyAlignment="1">
      <alignment horizontal="center"/>
    </xf>
    <xf numFmtId="0" fontId="69" fillId="22" borderId="21" xfId="0" applyFont="1" applyFill="1" applyBorder="1" applyAlignment="1">
      <alignment horizontal="center"/>
    </xf>
    <xf numFmtId="0" fontId="69" fillId="22" borderId="25" xfId="0" applyFont="1" applyFill="1" applyBorder="1" applyAlignment="1">
      <alignment horizontal="center"/>
    </xf>
    <xf numFmtId="0" fontId="72" fillId="17" borderId="0" xfId="0" applyFont="1" applyFill="1" applyAlignment="1">
      <alignment horizontal="center"/>
    </xf>
    <xf numFmtId="0" fontId="69" fillId="26" borderId="0" xfId="0" applyFont="1" applyFill="1" applyAlignment="1">
      <alignment horizontal="center"/>
    </xf>
    <xf numFmtId="0" fontId="69" fillId="26" borderId="21" xfId="0" applyFont="1" applyFill="1" applyBorder="1" applyAlignment="1">
      <alignment horizontal="center"/>
    </xf>
    <xf numFmtId="0" fontId="69" fillId="26" borderId="25" xfId="0" applyFont="1" applyFill="1" applyBorder="1" applyAlignment="1">
      <alignment horizontal="center"/>
    </xf>
    <xf numFmtId="0" fontId="69" fillId="26" borderId="26" xfId="0" applyFont="1" applyFill="1" applyBorder="1" applyAlignment="1">
      <alignment horizontal="center"/>
    </xf>
    <xf numFmtId="0" fontId="69" fillId="8" borderId="0" xfId="0" applyFont="1" applyFill="1" applyAlignment="1">
      <alignment horizontal="center"/>
    </xf>
    <xf numFmtId="0" fontId="69" fillId="26" borderId="50" xfId="0" applyFont="1" applyFill="1" applyBorder="1" applyAlignment="1">
      <alignment horizontal="center"/>
    </xf>
    <xf numFmtId="0" fontId="73" fillId="22" borderId="21" xfId="0" applyFont="1" applyFill="1" applyBorder="1" applyAlignment="1">
      <alignment horizontal="center"/>
    </xf>
    <xf numFmtId="0" fontId="69" fillId="8" borderId="29" xfId="0" applyFont="1" applyFill="1" applyBorder="1" applyAlignment="1">
      <alignment horizontal="left" vertical="center" wrapText="1"/>
    </xf>
    <xf numFmtId="0" fontId="69" fillId="8" borderId="30" xfId="0" applyFont="1" applyFill="1" applyBorder="1" applyAlignment="1">
      <alignment horizontal="left" vertical="center" wrapText="1"/>
    </xf>
    <xf numFmtId="0" fontId="69" fillId="8" borderId="31" xfId="0" applyFont="1" applyFill="1" applyBorder="1" applyAlignment="1">
      <alignment horizontal="left" vertical="center" wrapText="1"/>
    </xf>
    <xf numFmtId="0" fontId="69" fillId="8" borderId="34" xfId="0" applyFont="1" applyFill="1" applyBorder="1" applyAlignment="1">
      <alignment horizontal="left" vertical="center" wrapText="1"/>
    </xf>
    <xf numFmtId="0" fontId="69" fillId="8" borderId="18" xfId="0" applyFont="1" applyFill="1" applyBorder="1" applyAlignment="1">
      <alignment horizontal="left" vertical="center" wrapText="1"/>
    </xf>
    <xf numFmtId="0" fontId="69" fillId="8" borderId="35" xfId="0" applyFont="1" applyFill="1" applyBorder="1" applyAlignment="1">
      <alignment horizontal="left" vertical="center" wrapText="1"/>
    </xf>
    <xf numFmtId="0" fontId="69" fillId="8" borderId="29" xfId="0" applyFont="1" applyFill="1" applyBorder="1" applyAlignment="1">
      <alignment horizontal="left" wrapText="1"/>
    </xf>
    <xf numFmtId="0" fontId="69" fillId="8" borderId="30" xfId="0" applyFont="1" applyFill="1" applyBorder="1" applyAlignment="1">
      <alignment horizontal="left" wrapText="1"/>
    </xf>
    <xf numFmtId="0" fontId="69" fillId="8" borderId="31" xfId="0" applyFont="1" applyFill="1" applyBorder="1" applyAlignment="1">
      <alignment horizontal="left" wrapText="1"/>
    </xf>
    <xf numFmtId="0" fontId="69" fillId="8" borderId="32" xfId="0" applyFont="1" applyFill="1" applyBorder="1" applyAlignment="1">
      <alignment horizontal="left" wrapText="1"/>
    </xf>
    <xf numFmtId="0" fontId="69" fillId="8" borderId="0" xfId="0" applyFont="1" applyFill="1" applyAlignment="1">
      <alignment horizontal="left" wrapText="1"/>
    </xf>
    <xf numFmtId="0" fontId="69" fillId="8" borderId="33" xfId="0" applyFont="1" applyFill="1" applyBorder="1" applyAlignment="1">
      <alignment horizontal="left" wrapText="1"/>
    </xf>
    <xf numFmtId="0" fontId="69" fillId="8" borderId="34" xfId="0" applyFont="1" applyFill="1" applyBorder="1" applyAlignment="1">
      <alignment horizontal="left" wrapText="1"/>
    </xf>
    <xf numFmtId="0" fontId="69" fillId="8" borderId="18" xfId="0" applyFont="1" applyFill="1" applyBorder="1" applyAlignment="1">
      <alignment horizontal="left" wrapText="1"/>
    </xf>
    <xf numFmtId="0" fontId="69" fillId="8" borderId="35" xfId="0" applyFont="1" applyFill="1" applyBorder="1" applyAlignment="1">
      <alignment horizontal="left" wrapText="1"/>
    </xf>
    <xf numFmtId="0" fontId="69" fillId="8" borderId="27" xfId="0" applyFont="1" applyFill="1" applyBorder="1" applyAlignment="1">
      <alignment horizontal="center" vertical="center" wrapText="1"/>
    </xf>
    <xf numFmtId="0" fontId="69" fillId="8" borderId="28" xfId="0" applyFont="1" applyFill="1" applyBorder="1" applyAlignment="1">
      <alignment horizontal="center" vertical="center" wrapText="1"/>
    </xf>
    <xf numFmtId="0" fontId="69" fillId="8" borderId="36" xfId="0" applyFont="1" applyFill="1" applyBorder="1" applyAlignment="1">
      <alignment horizontal="center" vertical="center" wrapText="1"/>
    </xf>
    <xf numFmtId="0" fontId="84" fillId="8" borderId="8" xfId="0" applyFont="1" applyFill="1" applyBorder="1" applyAlignment="1">
      <alignment horizontal="center"/>
    </xf>
    <xf numFmtId="0" fontId="87" fillId="6" borderId="21" xfId="0" applyFont="1" applyFill="1" applyBorder="1" applyAlignment="1">
      <alignment horizontal="left"/>
    </xf>
    <xf numFmtId="0" fontId="87" fillId="6" borderId="25" xfId="0" applyFont="1" applyFill="1" applyBorder="1" applyAlignment="1">
      <alignment horizontal="left"/>
    </xf>
    <xf numFmtId="0" fontId="87" fillId="6" borderId="26" xfId="0" applyFont="1" applyFill="1" applyBorder="1" applyAlignment="1">
      <alignment horizontal="left"/>
    </xf>
    <xf numFmtId="0" fontId="57" fillId="19" borderId="1" xfId="0" applyFont="1" applyFill="1" applyBorder="1" applyAlignment="1">
      <alignment horizontal="center" vertical="center" wrapText="1"/>
    </xf>
    <xf numFmtId="0" fontId="75" fillId="16" borderId="21" xfId="0" applyFont="1" applyFill="1" applyBorder="1" applyAlignment="1">
      <alignment horizontal="left"/>
    </xf>
    <xf numFmtId="0" fontId="75" fillId="16" borderId="25" xfId="0" applyFont="1" applyFill="1" applyBorder="1" applyAlignment="1">
      <alignment horizontal="left"/>
    </xf>
    <xf numFmtId="0" fontId="75" fillId="16" borderId="26" xfId="0" applyFont="1" applyFill="1" applyBorder="1" applyAlignment="1">
      <alignment horizontal="left"/>
    </xf>
    <xf numFmtId="0" fontId="80" fillId="8" borderId="29" xfId="0" applyFont="1" applyFill="1" applyBorder="1" applyAlignment="1">
      <alignment horizontal="left" vertical="center" wrapText="1"/>
    </xf>
    <xf numFmtId="0" fontId="80" fillId="8" borderId="30" xfId="0" applyFont="1" applyFill="1" applyBorder="1" applyAlignment="1">
      <alignment horizontal="left" vertical="center" wrapText="1"/>
    </xf>
    <xf numFmtId="0" fontId="80" fillId="8" borderId="31" xfId="0" applyFont="1" applyFill="1" applyBorder="1" applyAlignment="1">
      <alignment horizontal="left" vertical="center" wrapText="1"/>
    </xf>
    <xf numFmtId="0" fontId="80" fillId="8" borderId="32" xfId="0" applyFont="1" applyFill="1" applyBorder="1" applyAlignment="1">
      <alignment horizontal="left" vertical="center" wrapText="1"/>
    </xf>
    <xf numFmtId="0" fontId="80" fillId="8" borderId="0" xfId="0" applyFont="1" applyFill="1" applyAlignment="1">
      <alignment horizontal="left" vertical="center" wrapText="1"/>
    </xf>
    <xf numFmtId="0" fontId="80" fillId="8" borderId="33" xfId="0" applyFont="1" applyFill="1" applyBorder="1" applyAlignment="1">
      <alignment horizontal="left" vertical="center" wrapText="1"/>
    </xf>
    <xf numFmtId="0" fontId="80" fillId="8" borderId="34" xfId="0" applyFont="1" applyFill="1" applyBorder="1" applyAlignment="1">
      <alignment horizontal="left" vertical="center" wrapText="1"/>
    </xf>
    <xf numFmtId="0" fontId="80" fillId="8" borderId="18" xfId="0" applyFont="1" applyFill="1" applyBorder="1" applyAlignment="1">
      <alignment horizontal="left" vertical="center" wrapText="1"/>
    </xf>
    <xf numFmtId="0" fontId="80" fillId="8" borderId="35" xfId="0" applyFont="1" applyFill="1" applyBorder="1" applyAlignment="1">
      <alignment horizontal="left" vertical="center" wrapText="1"/>
    </xf>
    <xf numFmtId="0" fontId="87" fillId="6" borderId="1" xfId="0" applyFont="1" applyFill="1" applyBorder="1" applyAlignment="1">
      <alignment horizontal="center" vertical="center" wrapText="1"/>
    </xf>
    <xf numFmtId="0" fontId="111" fillId="23" borderId="0" xfId="0" applyFont="1" applyFill="1" applyAlignment="1">
      <alignment horizontal="left"/>
    </xf>
    <xf numFmtId="0" fontId="82" fillId="8" borderId="29" xfId="0" applyFont="1" applyFill="1" applyBorder="1" applyAlignment="1">
      <alignment horizontal="left" vertical="center" wrapText="1"/>
    </xf>
    <xf numFmtId="0" fontId="82" fillId="8" borderId="30" xfId="0" applyFont="1" applyFill="1" applyBorder="1" applyAlignment="1">
      <alignment horizontal="left" vertical="center" wrapText="1"/>
    </xf>
    <xf numFmtId="0" fontId="82" fillId="8" borderId="31" xfId="0" applyFont="1" applyFill="1" applyBorder="1" applyAlignment="1">
      <alignment horizontal="left" vertical="center" wrapText="1"/>
    </xf>
    <xf numFmtId="0" fontId="82" fillId="8" borderId="32" xfId="0" applyFont="1" applyFill="1" applyBorder="1" applyAlignment="1">
      <alignment horizontal="left" vertical="center" wrapText="1"/>
    </xf>
    <xf numFmtId="0" fontId="82" fillId="8" borderId="33" xfId="0" applyFont="1" applyFill="1" applyBorder="1" applyAlignment="1">
      <alignment horizontal="left" vertical="center" wrapText="1"/>
    </xf>
    <xf numFmtId="0" fontId="82" fillId="8" borderId="34" xfId="0" applyFont="1" applyFill="1" applyBorder="1" applyAlignment="1">
      <alignment horizontal="left" vertical="center" wrapText="1"/>
    </xf>
    <xf numFmtId="0" fontId="82" fillId="8" borderId="18" xfId="0" applyFont="1" applyFill="1" applyBorder="1" applyAlignment="1">
      <alignment horizontal="left" vertical="center" wrapText="1"/>
    </xf>
    <xf numFmtId="0" fontId="82" fillId="8" borderId="35" xfId="0" applyFont="1" applyFill="1" applyBorder="1" applyAlignment="1">
      <alignment horizontal="left" vertical="center" wrapText="1"/>
    </xf>
    <xf numFmtId="0" fontId="83" fillId="22" borderId="13" xfId="0" applyFont="1" applyFill="1" applyBorder="1" applyAlignment="1">
      <alignment horizontal="center" vertical="center"/>
    </xf>
    <xf numFmtId="0" fontId="83" fillId="22" borderId="15" xfId="0" applyFont="1" applyFill="1" applyBorder="1" applyAlignment="1">
      <alignment horizontal="center" vertical="center"/>
    </xf>
    <xf numFmtId="0" fontId="112" fillId="22" borderId="13" xfId="0" applyFont="1" applyFill="1" applyBorder="1" applyAlignment="1">
      <alignment horizontal="left" vertical="center"/>
    </xf>
    <xf numFmtId="0" fontId="112" fillId="22" borderId="15" xfId="0" applyFont="1" applyFill="1" applyBorder="1" applyAlignment="1">
      <alignment horizontal="left" vertical="center"/>
    </xf>
    <xf numFmtId="0" fontId="112" fillId="22" borderId="1" xfId="0" applyFont="1" applyFill="1" applyBorder="1" applyAlignment="1">
      <alignment horizontal="center" vertical="center"/>
    </xf>
    <xf numFmtId="0" fontId="111" fillId="17" borderId="0" xfId="0" applyFont="1" applyFill="1" applyAlignment="1">
      <alignment horizontal="left"/>
    </xf>
    <xf numFmtId="0" fontId="111" fillId="17" borderId="33" xfId="0" applyFont="1" applyFill="1" applyBorder="1" applyAlignment="1">
      <alignment horizontal="left"/>
    </xf>
    <xf numFmtId="0" fontId="77" fillId="14" borderId="1" xfId="0" applyFont="1" applyFill="1" applyBorder="1" applyAlignment="1">
      <alignment vertical="center" wrapText="1"/>
    </xf>
    <xf numFmtId="0" fontId="77" fillId="14" borderId="1" xfId="0" applyFont="1" applyFill="1" applyBorder="1" applyAlignment="1">
      <alignment horizontal="center" vertical="center" wrapText="1"/>
    </xf>
    <xf numFmtId="0" fontId="54" fillId="6" borderId="1" xfId="0" applyFont="1" applyFill="1" applyBorder="1" applyAlignment="1">
      <alignment horizontal="left"/>
    </xf>
    <xf numFmtId="3" fontId="75" fillId="14" borderId="21" xfId="0" applyNumberFormat="1" applyFont="1" applyFill="1" applyBorder="1" applyAlignment="1">
      <alignment horizontal="left"/>
    </xf>
    <xf numFmtId="3" fontId="75" fillId="14" borderId="25" xfId="0" applyNumberFormat="1" applyFont="1" applyFill="1" applyBorder="1" applyAlignment="1">
      <alignment horizontal="left"/>
    </xf>
    <xf numFmtId="0" fontId="75" fillId="16" borderId="1" xfId="0" applyFont="1" applyFill="1" applyBorder="1" applyAlignment="1">
      <alignment horizontal="center" vertical="center" wrapText="1"/>
    </xf>
    <xf numFmtId="0" fontId="55" fillId="0" borderId="1" xfId="0" applyFont="1" applyBorder="1" applyAlignment="1">
      <alignment horizontal="justify" vertical="center" wrapText="1"/>
    </xf>
    <xf numFmtId="0" fontId="55" fillId="0" borderId="0" xfId="0" applyFont="1" applyAlignment="1">
      <alignment vertical="center" wrapText="1"/>
    </xf>
    <xf numFmtId="0" fontId="55" fillId="8" borderId="29" xfId="0" applyFont="1" applyFill="1" applyBorder="1" applyAlignment="1">
      <alignment horizontal="left" vertical="center" wrapText="1"/>
    </xf>
    <xf numFmtId="0" fontId="55" fillId="8" borderId="30" xfId="0" applyFont="1" applyFill="1" applyBorder="1" applyAlignment="1">
      <alignment horizontal="left" vertical="center" wrapText="1"/>
    </xf>
    <xf numFmtId="0" fontId="55" fillId="8" borderId="31" xfId="0" applyFont="1" applyFill="1" applyBorder="1" applyAlignment="1">
      <alignment horizontal="left" vertical="center" wrapText="1"/>
    </xf>
    <xf numFmtId="0" fontId="55" fillId="8" borderId="32" xfId="0" applyFont="1" applyFill="1" applyBorder="1" applyAlignment="1">
      <alignment horizontal="left" vertical="center" wrapText="1"/>
    </xf>
    <xf numFmtId="0" fontId="55" fillId="8" borderId="0" xfId="0" applyFont="1" applyFill="1" applyAlignment="1">
      <alignment horizontal="left" vertical="center" wrapText="1"/>
    </xf>
    <xf numFmtId="0" fontId="55" fillId="8" borderId="33" xfId="0" applyFont="1" applyFill="1" applyBorder="1" applyAlignment="1">
      <alignment horizontal="left" vertical="center" wrapText="1"/>
    </xf>
    <xf numFmtId="0" fontId="55" fillId="8" borderId="34" xfId="0" applyFont="1" applyFill="1" applyBorder="1" applyAlignment="1">
      <alignment horizontal="left" vertical="center" wrapText="1"/>
    </xf>
    <xf numFmtId="0" fontId="55" fillId="8" borderId="18" xfId="0" applyFont="1" applyFill="1" applyBorder="1" applyAlignment="1">
      <alignment horizontal="left" vertical="center" wrapText="1"/>
    </xf>
    <xf numFmtId="0" fontId="55" fillId="8" borderId="35" xfId="0" applyFont="1" applyFill="1" applyBorder="1" applyAlignment="1">
      <alignment horizontal="left" vertical="center" wrapText="1"/>
    </xf>
    <xf numFmtId="0" fontId="60" fillId="15" borderId="1" xfId="0" applyFont="1" applyFill="1" applyBorder="1" applyAlignment="1">
      <alignment horizontal="left" vertical="center" wrapText="1"/>
    </xf>
    <xf numFmtId="0" fontId="88" fillId="8" borderId="1" xfId="0" applyFont="1" applyFill="1" applyBorder="1" applyAlignment="1">
      <alignment horizontal="left" vertical="center" wrapText="1"/>
    </xf>
    <xf numFmtId="0" fontId="61" fillId="8" borderId="1" xfId="0" applyFont="1" applyFill="1" applyBorder="1" applyAlignment="1">
      <alignment horizontal="left" vertical="center" wrapText="1"/>
    </xf>
    <xf numFmtId="0" fontId="55" fillId="8" borderId="29" xfId="0" applyFont="1" applyFill="1" applyBorder="1" applyAlignment="1">
      <alignment horizontal="left" wrapText="1"/>
    </xf>
    <xf numFmtId="0" fontId="55" fillId="8" borderId="30" xfId="0" applyFont="1" applyFill="1" applyBorder="1" applyAlignment="1">
      <alignment horizontal="left" wrapText="1"/>
    </xf>
    <xf numFmtId="0" fontId="55" fillId="8" borderId="31" xfId="0" applyFont="1" applyFill="1" applyBorder="1" applyAlignment="1">
      <alignment horizontal="left" wrapText="1"/>
    </xf>
    <xf numFmtId="0" fontId="55" fillId="8" borderId="32" xfId="0" applyFont="1" applyFill="1" applyBorder="1" applyAlignment="1">
      <alignment horizontal="left" wrapText="1"/>
    </xf>
    <xf numFmtId="0" fontId="55" fillId="8" borderId="0" xfId="0" applyFont="1" applyFill="1" applyAlignment="1">
      <alignment horizontal="left" wrapText="1"/>
    </xf>
    <xf numFmtId="0" fontId="55" fillId="8" borderId="33" xfId="0" applyFont="1" applyFill="1" applyBorder="1" applyAlignment="1">
      <alignment horizontal="left" wrapText="1"/>
    </xf>
    <xf numFmtId="0" fontId="55" fillId="8" borderId="34" xfId="0" applyFont="1" applyFill="1" applyBorder="1" applyAlignment="1">
      <alignment horizontal="left" wrapText="1"/>
    </xf>
    <xf numFmtId="0" fontId="55" fillId="8" borderId="18" xfId="0" applyFont="1" applyFill="1" applyBorder="1" applyAlignment="1">
      <alignment horizontal="left" wrapText="1"/>
    </xf>
    <xf numFmtId="0" fontId="55" fillId="8" borderId="35" xfId="0" applyFont="1" applyFill="1" applyBorder="1" applyAlignment="1">
      <alignment horizontal="left" wrapText="1"/>
    </xf>
    <xf numFmtId="0" fontId="55" fillId="0" borderId="1" xfId="0" applyFont="1" applyBorder="1" applyAlignment="1">
      <alignment vertical="center" wrapText="1"/>
    </xf>
    <xf numFmtId="0" fontId="54" fillId="21" borderId="13" xfId="0" applyFont="1" applyFill="1" applyBorder="1" applyAlignment="1">
      <alignment horizontal="center" vertical="center"/>
    </xf>
    <xf numFmtId="0" fontId="54" fillId="21" borderId="15" xfId="0" applyFont="1" applyFill="1" applyBorder="1" applyAlignment="1">
      <alignment horizontal="center" vertical="center"/>
    </xf>
    <xf numFmtId="0" fontId="57" fillId="21" borderId="13" xfId="0" applyFont="1" applyFill="1" applyBorder="1" applyAlignment="1">
      <alignment horizontal="center" vertical="center"/>
    </xf>
    <xf numFmtId="0" fontId="57" fillId="21" borderId="15" xfId="0" applyFont="1" applyFill="1" applyBorder="1" applyAlignment="1">
      <alignment horizontal="center" vertical="center"/>
    </xf>
    <xf numFmtId="0" fontId="57" fillId="21" borderId="2" xfId="0" applyFont="1" applyFill="1" applyBorder="1" applyAlignment="1">
      <alignment horizontal="center" vertical="center"/>
    </xf>
    <xf numFmtId="0" fontId="57" fillId="21" borderId="7" xfId="0" applyFont="1" applyFill="1" applyBorder="1" applyAlignment="1">
      <alignment horizontal="center" vertical="center"/>
    </xf>
    <xf numFmtId="0" fontId="54" fillId="6" borderId="10" xfId="0" applyFont="1" applyFill="1" applyBorder="1" applyAlignment="1">
      <alignment horizontal="left"/>
    </xf>
    <xf numFmtId="0" fontId="54" fillId="6" borderId="11" xfId="0" applyFont="1" applyFill="1" applyBorder="1" applyAlignment="1">
      <alignment horizontal="left"/>
    </xf>
    <xf numFmtId="0" fontId="54" fillId="6" borderId="12" xfId="0" applyFont="1" applyFill="1" applyBorder="1" applyAlignment="1">
      <alignment horizontal="left"/>
    </xf>
    <xf numFmtId="0" fontId="57" fillId="21" borderId="1" xfId="0" applyFont="1" applyFill="1" applyBorder="1" applyAlignment="1">
      <alignment horizontal="center" vertical="center"/>
    </xf>
    <xf numFmtId="0" fontId="73" fillId="15" borderId="21" xfId="0" applyFont="1" applyFill="1" applyBorder="1" applyAlignment="1">
      <alignment horizontal="center"/>
    </xf>
    <xf numFmtId="0" fontId="73" fillId="15" borderId="25" xfId="0" applyFont="1" applyFill="1" applyBorder="1" applyAlignment="1">
      <alignment horizontal="center"/>
    </xf>
    <xf numFmtId="0" fontId="73" fillId="15" borderId="26" xfId="0" applyFont="1" applyFill="1" applyBorder="1" applyAlignment="1">
      <alignment horizontal="center"/>
    </xf>
    <xf numFmtId="41" fontId="55" fillId="8" borderId="1" xfId="9" applyFont="1" applyFill="1" applyBorder="1" applyAlignment="1">
      <alignment horizontal="left" vertical="center" wrapText="1"/>
    </xf>
    <xf numFmtId="0" fontId="69" fillId="8" borderId="21" xfId="0" applyFont="1" applyFill="1" applyBorder="1" applyAlignment="1">
      <alignment horizontal="left"/>
    </xf>
    <xf numFmtId="0" fontId="69" fillId="8" borderId="26" xfId="0" applyFont="1" applyFill="1" applyBorder="1" applyAlignment="1">
      <alignment horizontal="left"/>
    </xf>
    <xf numFmtId="0" fontId="69" fillId="8" borderId="25" xfId="0" applyFont="1" applyFill="1" applyBorder="1" applyAlignment="1">
      <alignment horizontal="left"/>
    </xf>
    <xf numFmtId="0" fontId="89" fillId="8" borderId="15" xfId="0" applyFont="1" applyFill="1" applyBorder="1" applyAlignment="1">
      <alignment horizontal="center" vertical="center"/>
    </xf>
    <xf numFmtId="0" fontId="89" fillId="8" borderId="1" xfId="0" applyFont="1" applyFill="1" applyBorder="1" applyAlignment="1">
      <alignment horizontal="center" vertical="center"/>
    </xf>
    <xf numFmtId="0" fontId="69" fillId="8" borderId="34" xfId="0" applyFont="1" applyFill="1" applyBorder="1" applyAlignment="1">
      <alignment horizontal="left"/>
    </xf>
    <xf numFmtId="0" fontId="69" fillId="8" borderId="35" xfId="0" applyFont="1" applyFill="1" applyBorder="1" applyAlignment="1">
      <alignment horizontal="left"/>
    </xf>
    <xf numFmtId="0" fontId="60" fillId="21" borderId="1" xfId="0" applyFont="1" applyFill="1" applyBorder="1" applyAlignment="1">
      <alignment vertical="center" wrapText="1"/>
    </xf>
    <xf numFmtId="0" fontId="91" fillId="14" borderId="0" xfId="0" applyFont="1" applyFill="1" applyAlignment="1">
      <alignment horizontal="left"/>
    </xf>
    <xf numFmtId="0" fontId="92" fillId="0" borderId="1" xfId="0" applyFont="1" applyBorder="1" applyAlignment="1">
      <alignment vertical="center" wrapText="1"/>
    </xf>
    <xf numFmtId="0" fontId="72" fillId="17" borderId="0" xfId="0" applyFont="1" applyFill="1" applyAlignment="1">
      <alignment horizontal="left"/>
    </xf>
    <xf numFmtId="0" fontId="60" fillId="8" borderId="13" xfId="0" applyFont="1" applyFill="1" applyBorder="1" applyAlignment="1">
      <alignment vertical="center" wrapText="1"/>
    </xf>
    <xf numFmtId="0" fontId="60" fillId="8" borderId="15" xfId="0" applyFont="1" applyFill="1" applyBorder="1" applyAlignment="1">
      <alignment vertical="center" wrapText="1"/>
    </xf>
    <xf numFmtId="0" fontId="88" fillId="8" borderId="0" xfId="0" applyFont="1" applyFill="1" applyAlignment="1">
      <alignment vertical="center" wrapText="1"/>
    </xf>
    <xf numFmtId="0" fontId="59" fillId="8" borderId="18" xfId="0" applyFont="1" applyFill="1" applyBorder="1" applyAlignment="1">
      <alignment horizontal="center" vertical="center" wrapText="1"/>
    </xf>
    <xf numFmtId="0" fontId="91" fillId="23" borderId="0" xfId="0" applyFont="1" applyFill="1" applyAlignment="1">
      <alignment horizontal="left"/>
    </xf>
    <xf numFmtId="0" fontId="98" fillId="8" borderId="27" xfId="0" applyFont="1" applyFill="1" applyBorder="1" applyAlignment="1">
      <alignment horizontal="center" vertical="center" wrapText="1"/>
    </xf>
    <xf numFmtId="0" fontId="98" fillId="8" borderId="28" xfId="0" applyFont="1" applyFill="1" applyBorder="1" applyAlignment="1">
      <alignment horizontal="center" vertical="center" wrapText="1"/>
    </xf>
    <xf numFmtId="0" fontId="98" fillId="8" borderId="36" xfId="0" applyFont="1" applyFill="1" applyBorder="1" applyAlignment="1">
      <alignment horizontal="center" vertical="center" wrapText="1"/>
    </xf>
    <xf numFmtId="0" fontId="105" fillId="16" borderId="27" xfId="0" applyFont="1" applyFill="1" applyBorder="1" applyAlignment="1">
      <alignment horizontal="center" vertical="center" wrapText="1"/>
    </xf>
    <xf numFmtId="0" fontId="105" fillId="16" borderId="28" xfId="0" applyFont="1" applyFill="1" applyBorder="1" applyAlignment="1">
      <alignment horizontal="center" vertical="center" wrapText="1"/>
    </xf>
    <xf numFmtId="0" fontId="105" fillId="16" borderId="36" xfId="0" applyFont="1" applyFill="1" applyBorder="1" applyAlignment="1">
      <alignment horizontal="center" vertical="center" wrapText="1"/>
    </xf>
    <xf numFmtId="0" fontId="105" fillId="23" borderId="27" xfId="0" applyFont="1" applyFill="1" applyBorder="1" applyAlignment="1">
      <alignment horizontal="center" vertical="center" wrapText="1"/>
    </xf>
    <xf numFmtId="0" fontId="105" fillId="23" borderId="28" xfId="0" applyFont="1" applyFill="1" applyBorder="1" applyAlignment="1">
      <alignment horizontal="center" vertical="center" wrapText="1"/>
    </xf>
    <xf numFmtId="0" fontId="105" fillId="23" borderId="36" xfId="0" applyFont="1" applyFill="1" applyBorder="1" applyAlignment="1">
      <alignment horizontal="center" vertical="center" wrapText="1"/>
    </xf>
    <xf numFmtId="9" fontId="97" fillId="22" borderId="10" xfId="0" applyNumberFormat="1" applyFont="1" applyFill="1" applyBorder="1" applyAlignment="1">
      <alignment horizontal="center"/>
    </xf>
    <xf numFmtId="9" fontId="97" fillId="22" borderId="12" xfId="0" applyNumberFormat="1" applyFont="1" applyFill="1" applyBorder="1" applyAlignment="1">
      <alignment horizontal="center"/>
    </xf>
    <xf numFmtId="0" fontId="97" fillId="8" borderId="1" xfId="0" applyFont="1" applyFill="1" applyBorder="1" applyAlignment="1">
      <alignment horizontal="center"/>
    </xf>
    <xf numFmtId="0" fontId="96" fillId="22" borderId="21" xfId="0" applyFont="1" applyFill="1" applyBorder="1" applyAlignment="1">
      <alignment horizontal="center"/>
    </xf>
    <xf numFmtId="0" fontId="96" fillId="22" borderId="25" xfId="0" applyFont="1" applyFill="1" applyBorder="1" applyAlignment="1">
      <alignment horizontal="center"/>
    </xf>
    <xf numFmtId="0" fontId="96" fillId="22" borderId="26" xfId="0" applyFont="1" applyFill="1" applyBorder="1" applyAlignment="1">
      <alignment horizontal="center"/>
    </xf>
    <xf numFmtId="0" fontId="1" fillId="8" borderId="0" xfId="0" applyFont="1" applyFill="1" applyAlignment="1">
      <alignment horizontal="center"/>
    </xf>
    <xf numFmtId="0" fontId="107" fillId="23" borderId="66" xfId="0" applyFont="1" applyFill="1" applyBorder="1" applyAlignment="1">
      <alignment horizontal="center" wrapText="1"/>
    </xf>
    <xf numFmtId="0" fontId="107" fillId="23" borderId="59" xfId="0" applyFont="1" applyFill="1" applyBorder="1" applyAlignment="1">
      <alignment horizontal="center" wrapText="1"/>
    </xf>
    <xf numFmtId="0" fontId="109" fillId="23" borderId="10" xfId="0" applyFont="1" applyFill="1" applyBorder="1" applyAlignment="1">
      <alignment horizontal="center"/>
    </xf>
    <xf numFmtId="0" fontId="109" fillId="23" borderId="12" xfId="0" applyFont="1" applyFill="1" applyBorder="1" applyAlignment="1">
      <alignment horizontal="center"/>
    </xf>
    <xf numFmtId="165" fontId="2" fillId="8" borderId="14" xfId="0" applyNumberFormat="1" applyFont="1" applyFill="1" applyBorder="1" applyAlignment="1" applyProtection="1">
      <alignment horizontal="right" vertical="center"/>
      <protection locked="0"/>
    </xf>
    <xf numFmtId="165" fontId="2" fillId="8" borderId="14" xfId="0" applyNumberFormat="1" applyFont="1" applyFill="1" applyBorder="1" applyAlignment="1">
      <alignment horizontal="right" vertical="center"/>
    </xf>
    <xf numFmtId="165" fontId="2" fillId="8" borderId="0" xfId="0" applyNumberFormat="1" applyFont="1" applyFill="1" applyAlignment="1" applyProtection="1">
      <alignment horizontal="right" vertical="center"/>
      <protection locked="0"/>
    </xf>
    <xf numFmtId="165" fontId="2" fillId="8" borderId="0" xfId="0" applyNumberFormat="1" applyFont="1" applyFill="1" applyAlignment="1">
      <alignment horizontal="right" vertical="center"/>
    </xf>
    <xf numFmtId="0" fontId="2" fillId="8" borderId="21" xfId="0" applyFont="1" applyFill="1" applyBorder="1" applyAlignment="1">
      <alignment horizontal="center"/>
    </xf>
    <xf numFmtId="0" fontId="2" fillId="8" borderId="25"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14" fontId="8" fillId="4" borderId="2" xfId="0" applyNumberFormat="1" applyFont="1" applyFill="1" applyBorder="1" applyAlignment="1">
      <alignment horizontal="center"/>
    </xf>
    <xf numFmtId="14" fontId="8" fillId="4" borderId="4" xfId="0" applyNumberFormat="1" applyFont="1" applyFill="1" applyBorder="1" applyAlignment="1">
      <alignment horizontal="center"/>
    </xf>
    <xf numFmtId="14" fontId="8" fillId="4" borderId="5" xfId="0" applyNumberFormat="1" applyFont="1" applyFill="1" applyBorder="1" applyAlignment="1">
      <alignment horizontal="center"/>
    </xf>
    <xf numFmtId="14" fontId="8" fillId="4" borderId="6" xfId="0" applyNumberFormat="1" applyFont="1" applyFill="1" applyBorder="1" applyAlignment="1">
      <alignment horizontal="center"/>
    </xf>
    <xf numFmtId="0" fontId="107" fillId="23" borderId="2" xfId="0" applyFont="1" applyFill="1" applyBorder="1" applyAlignment="1">
      <alignment horizontal="center" vertical="center" wrapText="1"/>
    </xf>
    <xf numFmtId="0" fontId="107" fillId="23" borderId="3" xfId="0" applyFont="1" applyFill="1" applyBorder="1" applyAlignment="1">
      <alignment horizontal="center" vertical="center" wrapText="1"/>
    </xf>
    <xf numFmtId="0" fontId="107" fillId="23" borderId="4" xfId="0" applyFont="1" applyFill="1" applyBorder="1" applyAlignment="1">
      <alignment horizontal="center" vertical="center" wrapText="1"/>
    </xf>
    <xf numFmtId="14" fontId="107" fillId="23" borderId="7" xfId="0" applyNumberFormat="1" applyFont="1" applyFill="1" applyBorder="1" applyAlignment="1">
      <alignment horizontal="center" vertical="center" wrapText="1"/>
    </xf>
    <xf numFmtId="14" fontId="107" fillId="23" borderId="8" xfId="0" applyNumberFormat="1" applyFont="1" applyFill="1" applyBorder="1" applyAlignment="1">
      <alignment horizontal="center" vertical="center" wrapText="1"/>
    </xf>
    <xf numFmtId="14" fontId="107" fillId="23" borderId="9" xfId="0" applyNumberFormat="1" applyFont="1" applyFill="1" applyBorder="1" applyAlignment="1">
      <alignment horizontal="center" vertical="center" wrapText="1"/>
    </xf>
    <xf numFmtId="0" fontId="107" fillId="23" borderId="2" xfId="0" applyFont="1" applyFill="1" applyBorder="1" applyAlignment="1">
      <alignment horizontal="center" vertical="center"/>
    </xf>
    <xf numFmtId="0" fontId="107" fillId="23" borderId="5" xfId="0" applyFont="1" applyFill="1" applyBorder="1" applyAlignment="1">
      <alignment horizontal="center" vertical="center"/>
    </xf>
    <xf numFmtId="0" fontId="107" fillId="23" borderId="7" xfId="0" applyFont="1" applyFill="1" applyBorder="1" applyAlignment="1">
      <alignment horizontal="center" vertical="center"/>
    </xf>
    <xf numFmtId="0" fontId="107" fillId="23" borderId="2" xfId="0" applyFont="1" applyFill="1" applyBorder="1" applyAlignment="1">
      <alignment horizontal="center"/>
    </xf>
    <xf numFmtId="0" fontId="107" fillId="23" borderId="4" xfId="0" applyFont="1" applyFill="1" applyBorder="1" applyAlignment="1">
      <alignment horizontal="center"/>
    </xf>
    <xf numFmtId="0" fontId="107" fillId="23" borderId="0" xfId="0" applyFont="1" applyFill="1" applyAlignment="1">
      <alignment horizontal="center" wrapText="1"/>
    </xf>
    <xf numFmtId="0" fontId="107" fillId="23" borderId="10" xfId="0" applyFont="1" applyFill="1" applyBorder="1" applyAlignment="1">
      <alignment horizontal="center"/>
    </xf>
    <xf numFmtId="0" fontId="107" fillId="23" borderId="11" xfId="0" applyFont="1" applyFill="1" applyBorder="1" applyAlignment="1">
      <alignment horizontal="center"/>
    </xf>
    <xf numFmtId="0" fontId="107" fillId="23" borderId="12" xfId="0" applyFont="1" applyFill="1" applyBorder="1" applyAlignment="1">
      <alignment horizontal="center"/>
    </xf>
    <xf numFmtId="14" fontId="107" fillId="23" borderId="7" xfId="0" applyNumberFormat="1" applyFont="1" applyFill="1" applyBorder="1" applyAlignment="1">
      <alignment horizontal="center"/>
    </xf>
    <xf numFmtId="14" fontId="107" fillId="23" borderId="9" xfId="0" applyNumberFormat="1" applyFont="1" applyFill="1" applyBorder="1" applyAlignment="1">
      <alignment horizontal="center"/>
    </xf>
    <xf numFmtId="0" fontId="107" fillId="23" borderId="30" xfId="0" applyFont="1" applyFill="1" applyBorder="1" applyAlignment="1">
      <alignment horizontal="center"/>
    </xf>
    <xf numFmtId="0" fontId="107" fillId="23" borderId="31" xfId="0" applyFont="1" applyFill="1" applyBorder="1" applyAlignment="1">
      <alignment horizontal="center"/>
    </xf>
    <xf numFmtId="14" fontId="110" fillId="23" borderId="18" xfId="0" applyNumberFormat="1" applyFont="1" applyFill="1" applyBorder="1" applyAlignment="1">
      <alignment horizontal="center" vertical="center" wrapText="1"/>
    </xf>
    <xf numFmtId="14" fontId="110" fillId="23" borderId="35" xfId="0" applyNumberFormat="1" applyFont="1" applyFill="1" applyBorder="1" applyAlignment="1">
      <alignment horizontal="center" vertical="center" wrapText="1"/>
    </xf>
    <xf numFmtId="0" fontId="107" fillId="23" borderId="3" xfId="0" applyFont="1" applyFill="1" applyBorder="1" applyAlignment="1">
      <alignment horizontal="center"/>
    </xf>
    <xf numFmtId="0" fontId="2" fillId="0" borderId="8" xfId="0" applyFont="1" applyBorder="1" applyAlignment="1" applyProtection="1">
      <alignment horizontal="left" wrapText="1" indent="23"/>
      <protection locked="0"/>
    </xf>
    <xf numFmtId="0" fontId="2" fillId="0" borderId="0" xfId="0" applyFont="1" applyAlignment="1" applyProtection="1">
      <alignment horizontal="left" wrapText="1" indent="23"/>
      <protection locked="0"/>
    </xf>
    <xf numFmtId="0" fontId="107" fillId="23" borderId="29" xfId="0" applyFont="1" applyFill="1" applyBorder="1" applyAlignment="1">
      <alignment horizontal="center" vertical="center" wrapText="1"/>
    </xf>
    <xf numFmtId="0" fontId="107" fillId="23" borderId="32" xfId="0" applyFont="1" applyFill="1" applyBorder="1" applyAlignment="1">
      <alignment horizontal="center" vertical="center" wrapText="1"/>
    </xf>
    <xf numFmtId="0" fontId="107" fillId="23" borderId="34" xfId="0" applyFont="1" applyFill="1" applyBorder="1" applyAlignment="1">
      <alignment horizontal="center" vertical="center" wrapText="1"/>
    </xf>
    <xf numFmtId="0" fontId="107" fillId="23" borderId="29" xfId="0" applyFont="1" applyFill="1" applyBorder="1" applyAlignment="1">
      <alignment horizontal="center"/>
    </xf>
    <xf numFmtId="14" fontId="110" fillId="23" borderId="34" xfId="0" applyNumberFormat="1" applyFont="1" applyFill="1" applyBorder="1" applyAlignment="1">
      <alignment horizontal="center" vertical="center" wrapText="1"/>
    </xf>
    <xf numFmtId="14" fontId="107" fillId="23" borderId="0" xfId="0" applyNumberFormat="1" applyFont="1" applyFill="1" applyAlignment="1">
      <alignment horizontal="center"/>
    </xf>
    <xf numFmtId="14" fontId="107" fillId="23" borderId="6" xfId="0" applyNumberFormat="1" applyFont="1" applyFill="1" applyBorder="1" applyAlignment="1">
      <alignment horizontal="center"/>
    </xf>
    <xf numFmtId="0" fontId="107" fillId="23" borderId="5" xfId="0" applyFont="1" applyFill="1" applyBorder="1" applyAlignment="1">
      <alignment horizontal="center" vertical="center" wrapText="1"/>
    </xf>
    <xf numFmtId="0" fontId="107" fillId="23" borderId="7" xfId="0" applyFont="1" applyFill="1" applyBorder="1" applyAlignment="1">
      <alignment horizontal="center" vertical="center" wrapText="1"/>
    </xf>
    <xf numFmtId="0" fontId="107" fillId="23" borderId="13" xfId="0" applyFont="1" applyFill="1" applyBorder="1" applyAlignment="1">
      <alignment horizontal="center" vertical="center"/>
    </xf>
    <xf numFmtId="0" fontId="107" fillId="23" borderId="14" xfId="0" applyFont="1" applyFill="1" applyBorder="1" applyAlignment="1">
      <alignment horizontal="center" vertical="center"/>
    </xf>
    <xf numFmtId="0" fontId="107" fillId="23" borderId="15" xfId="0" applyFont="1" applyFill="1" applyBorder="1" applyAlignment="1">
      <alignment horizontal="center" vertical="center"/>
    </xf>
    <xf numFmtId="0" fontId="107" fillId="23" borderId="13" xfId="0" applyFont="1" applyFill="1" applyBorder="1" applyAlignment="1">
      <alignment horizontal="center" vertical="center" wrapText="1"/>
    </xf>
    <xf numFmtId="0" fontId="107" fillId="23" borderId="14" xfId="0" applyFont="1" applyFill="1" applyBorder="1" applyAlignment="1">
      <alignment horizontal="center" vertical="center" wrapText="1"/>
    </xf>
    <xf numFmtId="0" fontId="107" fillId="23" borderId="15" xfId="0" applyFont="1" applyFill="1" applyBorder="1" applyAlignment="1">
      <alignment horizontal="center" vertical="center" wrapText="1"/>
    </xf>
    <xf numFmtId="0" fontId="107" fillId="23" borderId="10" xfId="0" applyFont="1" applyFill="1" applyBorder="1" applyAlignment="1">
      <alignment horizontal="center" vertical="center" wrapText="1"/>
    </xf>
    <xf numFmtId="0" fontId="107" fillId="23" borderId="12" xfId="0" applyFont="1" applyFill="1" applyBorder="1" applyAlignment="1">
      <alignment horizontal="center" vertical="center" wrapText="1"/>
    </xf>
    <xf numFmtId="0" fontId="107" fillId="23" borderId="10" xfId="0" applyFont="1" applyFill="1" applyBorder="1" applyAlignment="1">
      <alignment horizontal="center" vertical="center"/>
    </xf>
    <xf numFmtId="0" fontId="107" fillId="23" borderId="12" xfId="0" applyFont="1" applyFill="1" applyBorder="1" applyAlignment="1">
      <alignment horizontal="center" vertical="center"/>
    </xf>
    <xf numFmtId="0" fontId="107" fillId="23" borderId="3" xfId="0" applyFont="1" applyFill="1" applyBorder="1" applyAlignment="1">
      <alignment horizontal="center" vertical="center"/>
    </xf>
    <xf numFmtId="14" fontId="107" fillId="23" borderId="5" xfId="0" applyNumberFormat="1" applyFont="1" applyFill="1" applyBorder="1" applyAlignment="1">
      <alignment horizontal="center"/>
    </xf>
    <xf numFmtId="0" fontId="107" fillId="23" borderId="13" xfId="0" applyFont="1" applyFill="1" applyBorder="1" applyAlignment="1">
      <alignment horizontal="center"/>
    </xf>
    <xf numFmtId="0" fontId="107" fillId="23" borderId="14" xfId="0" applyFont="1" applyFill="1" applyBorder="1" applyAlignment="1">
      <alignment horizontal="center"/>
    </xf>
    <xf numFmtId="0" fontId="107" fillId="23" borderId="15" xfId="0" applyFont="1" applyFill="1" applyBorder="1" applyAlignment="1">
      <alignment horizontal="center"/>
    </xf>
    <xf numFmtId="0" fontId="107" fillId="23" borderId="6" xfId="0" applyFont="1" applyFill="1" applyBorder="1" applyAlignment="1">
      <alignment horizontal="center" vertical="center" wrapText="1"/>
    </xf>
    <xf numFmtId="0" fontId="107" fillId="23" borderId="9" xfId="0" applyFont="1" applyFill="1" applyBorder="1" applyAlignment="1">
      <alignment horizontal="center" vertical="center" wrapText="1"/>
    </xf>
    <xf numFmtId="0" fontId="107" fillId="23" borderId="0" xfId="0" applyFont="1" applyFill="1" applyAlignment="1">
      <alignment horizontal="center"/>
    </xf>
    <xf numFmtId="0" fontId="107" fillId="23" borderId="6" xfId="0" applyFont="1" applyFill="1" applyBorder="1" applyAlignment="1">
      <alignment horizontal="center"/>
    </xf>
    <xf numFmtId="0" fontId="1" fillId="0" borderId="0" xfId="0" applyFont="1" applyAlignment="1">
      <alignment horizontal="center"/>
    </xf>
    <xf numFmtId="14" fontId="1" fillId="0" borderId="0" xfId="0" applyNumberFormat="1" applyFont="1" applyAlignment="1">
      <alignment horizontal="center"/>
    </xf>
    <xf numFmtId="14" fontId="107" fillId="23" borderId="10" xfId="0" applyNumberFormat="1" applyFont="1" applyFill="1" applyBorder="1" applyAlignment="1">
      <alignment horizontal="center"/>
    </xf>
    <xf numFmtId="14" fontId="107" fillId="23" borderId="2" xfId="0" applyNumberFormat="1" applyFont="1" applyFill="1" applyBorder="1" applyAlignment="1">
      <alignment horizontal="center" vertical="center" wrapText="1"/>
    </xf>
    <xf numFmtId="14" fontId="107" fillId="23" borderId="5" xfId="0" applyNumberFormat="1" applyFont="1" applyFill="1" applyBorder="1" applyAlignment="1">
      <alignment horizontal="center" vertical="center" wrapText="1"/>
    </xf>
    <xf numFmtId="14" fontId="107" fillId="23" borderId="2" xfId="0" applyNumberFormat="1" applyFont="1" applyFill="1" applyBorder="1" applyAlignment="1">
      <alignment horizontal="center"/>
    </xf>
    <xf numFmtId="14" fontId="107" fillId="23" borderId="3" xfId="0" applyNumberFormat="1" applyFont="1" applyFill="1" applyBorder="1" applyAlignment="1">
      <alignment horizontal="center"/>
    </xf>
    <xf numFmtId="14" fontId="107" fillId="23" borderId="4" xfId="0" applyNumberFormat="1" applyFont="1" applyFill="1" applyBorder="1" applyAlignment="1">
      <alignment horizont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2" xfId="0" applyFont="1" applyFill="1" applyBorder="1" applyAlignment="1">
      <alignment horizontal="center" wrapText="1"/>
    </xf>
    <xf numFmtId="0" fontId="1" fillId="4" borderId="4" xfId="0" applyFont="1" applyFill="1" applyBorder="1" applyAlignment="1">
      <alignment horizontal="center"/>
    </xf>
    <xf numFmtId="165" fontId="12" fillId="0" borderId="0" xfId="0" applyNumberFormat="1" applyFont="1" applyAlignment="1" applyProtection="1">
      <alignment horizontal="center"/>
      <protection locked="0"/>
    </xf>
    <xf numFmtId="165" fontId="12" fillId="0" borderId="0" xfId="0" applyNumberFormat="1" applyFont="1" applyAlignment="1">
      <alignment horizontal="center"/>
    </xf>
    <xf numFmtId="165" fontId="107" fillId="23" borderId="2" xfId="0" applyNumberFormat="1" applyFont="1" applyFill="1" applyBorder="1" applyAlignment="1">
      <alignment horizontal="center" vertical="center" wrapText="1"/>
    </xf>
    <xf numFmtId="165" fontId="107" fillId="23" borderId="4" xfId="0" applyNumberFormat="1" applyFont="1" applyFill="1" applyBorder="1" applyAlignment="1">
      <alignment horizontal="center" vertical="center" wrapText="1"/>
    </xf>
    <xf numFmtId="0" fontId="110" fillId="23" borderId="2" xfId="0" applyFont="1" applyFill="1" applyBorder="1" applyAlignment="1">
      <alignment horizontal="center" vertical="center" wrapText="1"/>
    </xf>
    <xf numFmtId="0" fontId="110" fillId="23" borderId="5" xfId="0" applyFont="1" applyFill="1" applyBorder="1" applyAlignment="1">
      <alignment horizontal="center" vertical="center" wrapText="1"/>
    </xf>
    <xf numFmtId="0" fontId="110" fillId="23" borderId="7" xfId="0" applyFont="1" applyFill="1" applyBorder="1" applyAlignment="1">
      <alignment horizontal="center" vertical="center" wrapText="1"/>
    </xf>
    <xf numFmtId="0" fontId="110" fillId="23" borderId="13" xfId="0" applyFont="1" applyFill="1" applyBorder="1" applyAlignment="1">
      <alignment horizontal="center" vertical="center" wrapText="1"/>
    </xf>
    <xf numFmtId="0" fontId="110" fillId="23" borderId="14" xfId="0" applyFont="1" applyFill="1" applyBorder="1" applyAlignment="1">
      <alignment horizontal="center" vertical="center" wrapText="1"/>
    </xf>
    <xf numFmtId="0" fontId="110" fillId="23" borderId="15" xfId="0" applyFont="1" applyFill="1" applyBorder="1" applyAlignment="1">
      <alignment horizontal="center" vertical="center" wrapText="1"/>
    </xf>
    <xf numFmtId="14" fontId="1" fillId="4" borderId="5" xfId="0" applyNumberFormat="1"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14" fontId="1" fillId="4" borderId="7" xfId="0" applyNumberFormat="1" applyFont="1" applyFill="1" applyBorder="1" applyAlignment="1">
      <alignment horizontal="center"/>
    </xf>
    <xf numFmtId="14" fontId="1" fillId="4" borderId="8" xfId="0" applyNumberFormat="1" applyFont="1" applyFill="1" applyBorder="1" applyAlignment="1">
      <alignment horizontal="center"/>
    </xf>
    <xf numFmtId="14" fontId="1" fillId="4" borderId="9" xfId="0" applyNumberFormat="1" applyFont="1" applyFill="1" applyBorder="1" applyAlignment="1">
      <alignment horizontal="center"/>
    </xf>
    <xf numFmtId="0" fontId="42" fillId="6" borderId="2" xfId="0" applyFont="1" applyFill="1" applyBorder="1" applyAlignment="1">
      <alignment horizontal="left" wrapText="1"/>
    </xf>
    <xf numFmtId="0" fontId="42" fillId="6" borderId="3" xfId="0" applyFont="1" applyFill="1" applyBorder="1" applyAlignment="1">
      <alignment horizontal="left" wrapText="1"/>
    </xf>
    <xf numFmtId="0" fontId="42" fillId="6" borderId="4" xfId="0" applyFont="1" applyFill="1" applyBorder="1" applyAlignment="1">
      <alignment horizontal="left" wrapText="1"/>
    </xf>
    <xf numFmtId="0" fontId="42" fillId="6" borderId="5" xfId="0" applyFont="1" applyFill="1" applyBorder="1" applyAlignment="1">
      <alignment horizontal="left" wrapText="1"/>
    </xf>
    <xf numFmtId="0" fontId="42" fillId="6" borderId="0" xfId="0" applyFont="1" applyFill="1" applyAlignment="1">
      <alignment horizontal="left" wrapText="1"/>
    </xf>
    <xf numFmtId="0" fontId="42" fillId="6" borderId="6" xfId="0" applyFont="1" applyFill="1" applyBorder="1" applyAlignment="1">
      <alignment horizontal="left" wrapText="1"/>
    </xf>
    <xf numFmtId="0" fontId="42" fillId="6" borderId="7" xfId="0" applyFont="1" applyFill="1" applyBorder="1" applyAlignment="1">
      <alignment horizontal="left" wrapText="1"/>
    </xf>
    <xf numFmtId="0" fontId="42" fillId="6" borderId="8" xfId="0" applyFont="1" applyFill="1" applyBorder="1" applyAlignment="1">
      <alignment horizontal="left" wrapText="1"/>
    </xf>
    <xf numFmtId="0" fontId="42" fillId="6" borderId="9" xfId="0" applyFont="1" applyFill="1" applyBorder="1" applyAlignment="1">
      <alignment horizontal="left" wrapText="1"/>
    </xf>
    <xf numFmtId="0" fontId="107" fillId="23" borderId="2" xfId="0" applyFont="1" applyFill="1" applyBorder="1" applyAlignment="1">
      <alignment horizontal="center" wrapText="1"/>
    </xf>
    <xf numFmtId="0" fontId="107" fillId="23" borderId="5" xfId="0" applyFont="1" applyFill="1" applyBorder="1" applyAlignment="1">
      <alignment horizontal="center" wrapText="1"/>
    </xf>
    <xf numFmtId="0" fontId="107" fillId="23" borderId="7" xfId="0" applyFont="1" applyFill="1" applyBorder="1" applyAlignment="1">
      <alignment horizontal="center" wrapText="1"/>
    </xf>
    <xf numFmtId="0" fontId="107" fillId="23" borderId="2" xfId="0" applyFont="1" applyFill="1" applyBorder="1" applyAlignment="1">
      <alignment horizontal="left" vertical="center" wrapText="1"/>
    </xf>
    <xf numFmtId="0" fontId="107" fillId="23" borderId="5" xfId="0" applyFont="1" applyFill="1" applyBorder="1" applyAlignment="1">
      <alignment horizontal="left" vertical="center" wrapText="1"/>
    </xf>
    <xf numFmtId="0" fontId="107" fillId="23" borderId="7" xfId="0" applyFont="1" applyFill="1" applyBorder="1" applyAlignment="1">
      <alignment horizontal="left" vertical="center" wrapText="1"/>
    </xf>
    <xf numFmtId="14" fontId="107" fillId="23" borderId="16" xfId="0" applyNumberFormat="1" applyFont="1" applyFill="1" applyBorder="1" applyAlignment="1">
      <alignment horizontal="center"/>
    </xf>
    <xf numFmtId="0" fontId="107" fillId="23" borderId="16" xfId="0" applyFont="1" applyFill="1" applyBorder="1" applyAlignment="1">
      <alignment horizontal="center"/>
    </xf>
    <xf numFmtId="0" fontId="107" fillId="23" borderId="17" xfId="0" applyFont="1" applyFill="1" applyBorder="1" applyAlignment="1">
      <alignment horizontal="center"/>
    </xf>
    <xf numFmtId="0" fontId="39" fillId="0" borderId="0" xfId="0" applyFont="1" applyAlignment="1" applyProtection="1">
      <alignment horizontal="center"/>
      <protection locked="0"/>
    </xf>
    <xf numFmtId="0" fontId="106" fillId="23" borderId="3" xfId="0" applyFont="1" applyFill="1" applyBorder="1" applyAlignment="1">
      <alignment horizontal="center" vertical="center" wrapText="1"/>
    </xf>
    <xf numFmtId="0" fontId="106" fillId="23" borderId="8" xfId="0" applyFont="1" applyFill="1" applyBorder="1" applyAlignment="1">
      <alignment horizontal="center" vertical="center" wrapText="1"/>
    </xf>
    <xf numFmtId="3" fontId="80" fillId="6" borderId="24" xfId="0" applyNumberFormat="1" applyFont="1" applyFill="1" applyBorder="1"/>
    <xf numFmtId="0" fontId="69" fillId="8" borderId="0" xfId="0" applyFont="1" applyFill="1" applyAlignment="1"/>
    <xf numFmtId="0" fontId="69" fillId="8" borderId="0" xfId="0" applyFont="1" applyFill="1" applyAlignment="1">
      <alignment horizontal="left"/>
    </xf>
    <xf numFmtId="0" fontId="69" fillId="8" borderId="33" xfId="0" applyFont="1" applyFill="1" applyBorder="1" applyAlignment="1">
      <alignment horizontal="left"/>
    </xf>
    <xf numFmtId="0" fontId="73" fillId="8" borderId="36" xfId="0" applyFont="1" applyFill="1" applyBorder="1"/>
    <xf numFmtId="0" fontId="73" fillId="8" borderId="34" xfId="0" applyFont="1" applyFill="1" applyBorder="1"/>
    <xf numFmtId="0" fontId="73" fillId="8" borderId="18" xfId="0" applyFont="1" applyFill="1" applyBorder="1"/>
    <xf numFmtId="0" fontId="73" fillId="8" borderId="35" xfId="0" applyFont="1" applyFill="1" applyBorder="1"/>
    <xf numFmtId="41" fontId="69" fillId="6" borderId="27" xfId="9" applyFont="1" applyFill="1" applyBorder="1"/>
    <xf numFmtId="41" fontId="70" fillId="6" borderId="27" xfId="9" applyFont="1" applyFill="1" applyBorder="1"/>
    <xf numFmtId="41" fontId="71" fillId="6" borderId="27" xfId="9" applyFont="1" applyFill="1" applyBorder="1"/>
    <xf numFmtId="41" fontId="70" fillId="6" borderId="36" xfId="9" applyFont="1" applyFill="1" applyBorder="1"/>
    <xf numFmtId="41" fontId="71" fillId="6" borderId="36" xfId="9" applyFont="1" applyFill="1" applyBorder="1"/>
    <xf numFmtId="41" fontId="69" fillId="6" borderId="28" xfId="9" applyFont="1" applyFill="1" applyBorder="1"/>
    <xf numFmtId="41" fontId="70" fillId="6" borderId="28" xfId="9" applyFont="1" applyFill="1" applyBorder="1"/>
    <xf numFmtId="41" fontId="71" fillId="6" borderId="28" xfId="9" applyFont="1" applyFill="1" applyBorder="1"/>
    <xf numFmtId="0" fontId="87" fillId="6" borderId="1" xfId="0" applyFont="1" applyFill="1" applyBorder="1" applyAlignment="1">
      <alignment vertical="center" wrapText="1"/>
    </xf>
    <xf numFmtId="0" fontId="80" fillId="6" borderId="1" xfId="0" applyFont="1" applyFill="1" applyBorder="1" applyAlignment="1">
      <alignment vertical="center" wrapText="1"/>
    </xf>
    <xf numFmtId="0" fontId="80" fillId="6" borderId="1" xfId="0" applyFont="1" applyFill="1" applyBorder="1" applyAlignment="1">
      <alignment horizontal="center" vertical="center" wrapText="1"/>
    </xf>
    <xf numFmtId="41" fontId="80" fillId="6" borderId="1" xfId="9" applyFont="1" applyFill="1" applyBorder="1" applyAlignment="1">
      <alignment horizontal="right" vertical="center" wrapText="1"/>
    </xf>
    <xf numFmtId="0" fontId="80" fillId="6" borderId="1" xfId="0" applyFont="1" applyFill="1" applyBorder="1" applyAlignment="1">
      <alignment horizontal="right" vertical="center" wrapText="1"/>
    </xf>
    <xf numFmtId="0" fontId="87" fillId="6" borderId="1" xfId="0" applyFont="1" applyFill="1" applyBorder="1"/>
    <xf numFmtId="41" fontId="87" fillId="6" borderId="1" xfId="0" applyNumberFormat="1" applyFont="1" applyFill="1" applyBorder="1"/>
    <xf numFmtId="3" fontId="87" fillId="6" borderId="1" xfId="0" applyNumberFormat="1" applyFont="1" applyFill="1" applyBorder="1" applyAlignment="1">
      <alignment horizontal="center" vertical="center" wrapText="1"/>
    </xf>
    <xf numFmtId="3" fontId="87" fillId="6" borderId="1" xfId="0" applyNumberFormat="1" applyFont="1" applyFill="1" applyBorder="1" applyAlignment="1">
      <alignment horizontal="right" vertical="center" wrapText="1"/>
    </xf>
    <xf numFmtId="0" fontId="55" fillId="8" borderId="25" xfId="0" applyFont="1" applyFill="1" applyBorder="1"/>
    <xf numFmtId="41" fontId="69" fillId="8" borderId="24" xfId="9" applyFont="1" applyFill="1" applyBorder="1"/>
    <xf numFmtId="41" fontId="73" fillId="22" borderId="26" xfId="9" applyFont="1" applyFill="1" applyBorder="1" applyAlignment="1">
      <alignment horizontal="center"/>
    </xf>
    <xf numFmtId="0" fontId="73" fillId="8" borderId="32" xfId="0" applyFont="1" applyFill="1" applyBorder="1"/>
    <xf numFmtId="0" fontId="73" fillId="8" borderId="28" xfId="0" applyFont="1" applyFill="1" applyBorder="1"/>
    <xf numFmtId="0" fontId="73" fillId="8" borderId="33" xfId="0" applyFont="1" applyFill="1" applyBorder="1"/>
    <xf numFmtId="0" fontId="73" fillId="8" borderId="0" xfId="0" applyFont="1" applyFill="1" applyBorder="1"/>
    <xf numFmtId="41" fontId="73" fillId="8" borderId="28" xfId="0" applyNumberFormat="1" applyFont="1" applyFill="1" applyBorder="1"/>
    <xf numFmtId="41" fontId="73" fillId="8" borderId="33" xfId="0" applyNumberFormat="1" applyFont="1" applyFill="1" applyBorder="1"/>
    <xf numFmtId="3" fontId="80" fillId="8" borderId="0" xfId="0" applyNumberFormat="1" applyFont="1" applyFill="1"/>
    <xf numFmtId="3" fontId="80" fillId="8" borderId="35" xfId="0" applyNumberFormat="1" applyFont="1" applyFill="1" applyBorder="1"/>
    <xf numFmtId="0" fontId="80" fillId="8" borderId="24" xfId="0" applyFont="1" applyFill="1" applyBorder="1"/>
    <xf numFmtId="0" fontId="80" fillId="8" borderId="24" xfId="0" applyFont="1" applyFill="1" applyBorder="1" applyAlignment="1">
      <alignment horizontal="center"/>
    </xf>
    <xf numFmtId="0" fontId="80" fillId="8" borderId="26" xfId="0" applyFont="1" applyFill="1" applyBorder="1" applyAlignment="1">
      <alignment horizontal="center"/>
    </xf>
    <xf numFmtId="0" fontId="87" fillId="6" borderId="1" xfId="0" applyFont="1" applyFill="1" applyBorder="1" applyAlignment="1">
      <alignment horizontal="right" vertical="center" wrapText="1"/>
    </xf>
    <xf numFmtId="0" fontId="80" fillId="6" borderId="13" xfId="0" applyFont="1" applyFill="1" applyBorder="1" applyAlignment="1">
      <alignment vertical="center" wrapText="1"/>
    </xf>
    <xf numFmtId="0" fontId="80" fillId="6" borderId="13" xfId="0" applyFont="1" applyFill="1" applyBorder="1" applyAlignment="1">
      <alignment horizontal="center" vertical="center" wrapText="1"/>
    </xf>
    <xf numFmtId="0" fontId="87" fillId="6" borderId="13" xfId="0" applyFont="1" applyFill="1" applyBorder="1" applyAlignment="1">
      <alignment horizontal="right" vertical="center" wrapText="1"/>
    </xf>
    <xf numFmtId="0" fontId="69" fillId="8" borderId="0" xfId="0" applyFont="1" applyFill="1" applyBorder="1" applyAlignment="1"/>
    <xf numFmtId="0" fontId="80" fillId="6" borderId="29" xfId="0" applyFont="1" applyFill="1" applyBorder="1"/>
    <xf numFmtId="0" fontId="80" fillId="6" borderId="30" xfId="0" applyFont="1" applyFill="1" applyBorder="1"/>
    <xf numFmtId="3" fontId="80" fillId="6" borderId="27" xfId="0" applyNumberFormat="1" applyFont="1" applyFill="1" applyBorder="1"/>
    <xf numFmtId="0" fontId="80" fillId="6" borderId="34" xfId="0" applyFont="1" applyFill="1" applyBorder="1"/>
    <xf numFmtId="0" fontId="80" fillId="6" borderId="18" xfId="0" applyFont="1" applyFill="1" applyBorder="1"/>
    <xf numFmtId="3" fontId="80" fillId="6" borderId="36" xfId="0" applyNumberFormat="1" applyFont="1" applyFill="1" applyBorder="1"/>
    <xf numFmtId="0" fontId="73" fillId="8" borderId="21" xfId="0" applyFont="1" applyFill="1" applyBorder="1"/>
    <xf numFmtId="0" fontId="73" fillId="8" borderId="25" xfId="0" applyFont="1" applyFill="1" applyBorder="1"/>
    <xf numFmtId="0" fontId="69" fillId="8" borderId="28" xfId="0" applyFont="1" applyFill="1" applyBorder="1" applyAlignment="1"/>
    <xf numFmtId="3" fontId="73" fillId="8" borderId="28" xfId="0" applyNumberFormat="1" applyFont="1" applyFill="1" applyBorder="1"/>
    <xf numFmtId="41" fontId="73" fillId="8" borderId="24" xfId="0" applyNumberFormat="1" applyFont="1" applyFill="1" applyBorder="1"/>
    <xf numFmtId="3" fontId="73" fillId="8" borderId="24" xfId="0" applyNumberFormat="1" applyFont="1" applyFill="1" applyBorder="1"/>
    <xf numFmtId="41" fontId="80" fillId="8" borderId="0" xfId="0" applyNumberFormat="1" applyFont="1" applyFill="1"/>
    <xf numFmtId="0" fontId="87" fillId="6" borderId="40" xfId="0" applyFont="1" applyFill="1" applyBorder="1" applyAlignment="1">
      <alignment vertical="center" wrapText="1"/>
    </xf>
    <xf numFmtId="0" fontId="80" fillId="6" borderId="23" xfId="0" applyFont="1" applyFill="1" applyBorder="1" applyAlignment="1">
      <alignment horizontal="center" vertical="center" wrapText="1"/>
    </xf>
    <xf numFmtId="0" fontId="87" fillId="6" borderId="23" xfId="0" applyFont="1" applyFill="1" applyBorder="1" applyAlignment="1">
      <alignment horizontal="right" vertical="center" wrapText="1"/>
    </xf>
    <xf numFmtId="0" fontId="87" fillId="6" borderId="70" xfId="0" applyFont="1" applyFill="1" applyBorder="1" applyAlignment="1">
      <alignment horizontal="right" vertical="center" wrapText="1"/>
    </xf>
    <xf numFmtId="0" fontId="80" fillId="6" borderId="41" xfId="0" applyFont="1" applyFill="1" applyBorder="1" applyAlignment="1">
      <alignment vertical="center" wrapText="1"/>
    </xf>
    <xf numFmtId="3" fontId="80" fillId="6" borderId="42" xfId="0" applyNumberFormat="1" applyFont="1" applyFill="1" applyBorder="1" applyAlignment="1">
      <alignment horizontal="right" vertical="center" wrapText="1"/>
    </xf>
    <xf numFmtId="0" fontId="87" fillId="6" borderId="43" xfId="0" applyFont="1" applyFill="1" applyBorder="1" applyAlignment="1">
      <alignment vertical="center" wrapText="1"/>
    </xf>
    <xf numFmtId="0" fontId="87" fillId="6" borderId="44" xfId="0" applyFont="1" applyFill="1" applyBorder="1" applyAlignment="1">
      <alignment vertical="center" wrapText="1"/>
    </xf>
    <xf numFmtId="3" fontId="87" fillId="6" borderId="44" xfId="0" applyNumberFormat="1" applyFont="1" applyFill="1" applyBorder="1" applyAlignment="1">
      <alignment vertical="center" wrapText="1"/>
    </xf>
    <xf numFmtId="3" fontId="87" fillId="6" borderId="44" xfId="0" applyNumberFormat="1" applyFont="1" applyFill="1" applyBorder="1" applyAlignment="1">
      <alignment horizontal="right" vertical="center" wrapText="1"/>
    </xf>
    <xf numFmtId="3" fontId="87" fillId="6" borderId="45" xfId="0" applyNumberFormat="1" applyFont="1" applyFill="1" applyBorder="1" applyAlignment="1">
      <alignment horizontal="right" vertical="center" wrapText="1"/>
    </xf>
    <xf numFmtId="3" fontId="73" fillId="8" borderId="27" xfId="0" applyNumberFormat="1" applyFont="1" applyFill="1" applyBorder="1"/>
    <xf numFmtId="3" fontId="73" fillId="8" borderId="36" xfId="0" applyNumberFormat="1" applyFont="1" applyFill="1" applyBorder="1"/>
    <xf numFmtId="0" fontId="73" fillId="8" borderId="32" xfId="0" applyFont="1" applyFill="1" applyBorder="1" applyAlignment="1">
      <alignment horizontal="right"/>
    </xf>
    <xf numFmtId="41" fontId="73" fillId="8" borderId="33" xfId="9" applyFont="1" applyFill="1" applyBorder="1"/>
    <xf numFmtId="0" fontId="87" fillId="6" borderId="23" xfId="0" applyFont="1" applyFill="1" applyBorder="1" applyAlignment="1">
      <alignment vertical="center" wrapText="1"/>
    </xf>
    <xf numFmtId="0" fontId="80" fillId="6" borderId="23" xfId="0" applyFont="1" applyFill="1" applyBorder="1" applyAlignment="1">
      <alignment horizontal="right" vertical="center" wrapText="1"/>
    </xf>
    <xf numFmtId="0" fontId="80" fillId="6" borderId="70" xfId="0" applyFont="1" applyFill="1" applyBorder="1" applyAlignment="1">
      <alignment horizontal="right" vertical="center" wrapText="1"/>
    </xf>
    <xf numFmtId="3" fontId="87" fillId="6" borderId="42" xfId="0" applyNumberFormat="1" applyFont="1" applyFill="1" applyBorder="1" applyAlignment="1">
      <alignment horizontal="right" vertical="center" wrapText="1"/>
    </xf>
    <xf numFmtId="0" fontId="87" fillId="6" borderId="43" xfId="0" applyFont="1" applyFill="1" applyBorder="1"/>
    <xf numFmtId="0" fontId="80" fillId="6" borderId="44" xfId="0" applyFont="1" applyFill="1" applyBorder="1"/>
    <xf numFmtId="41" fontId="87" fillId="6" borderId="44" xfId="9" applyFont="1" applyFill="1" applyBorder="1"/>
    <xf numFmtId="41" fontId="87" fillId="6" borderId="45" xfId="9" applyFont="1" applyFill="1" applyBorder="1"/>
    <xf numFmtId="0" fontId="80" fillId="6" borderId="14" xfId="0" applyFont="1" applyFill="1" applyBorder="1" applyAlignment="1">
      <alignment vertical="center" wrapText="1"/>
    </xf>
    <xf numFmtId="0" fontId="80" fillId="6" borderId="14" xfId="0" applyFont="1" applyFill="1" applyBorder="1" applyAlignment="1">
      <alignment horizontal="center" vertical="center" wrapText="1"/>
    </xf>
    <xf numFmtId="0" fontId="87" fillId="6" borderId="14" xfId="0" applyFont="1" applyFill="1" applyBorder="1" applyAlignment="1">
      <alignment horizontal="right" vertical="center" wrapText="1"/>
    </xf>
    <xf numFmtId="0" fontId="80" fillId="6" borderId="43" xfId="0" applyFont="1" applyFill="1" applyBorder="1" applyAlignment="1">
      <alignment vertical="center" wrapText="1"/>
    </xf>
    <xf numFmtId="0" fontId="80" fillId="6" borderId="44" xfId="0" applyFont="1" applyFill="1" applyBorder="1" applyAlignment="1">
      <alignment horizontal="center" vertical="center" wrapText="1"/>
    </xf>
    <xf numFmtId="41" fontId="80" fillId="8" borderId="24" xfId="0" applyNumberFormat="1" applyFont="1" applyFill="1" applyBorder="1"/>
    <xf numFmtId="0" fontId="80" fillId="8" borderId="21" xfId="0" applyFont="1" applyFill="1" applyBorder="1" applyAlignment="1">
      <alignment horizontal="center"/>
    </xf>
    <xf numFmtId="41" fontId="84" fillId="8" borderId="24" xfId="9" applyFont="1" applyFill="1" applyBorder="1" applyAlignment="1">
      <alignment horizontal="center"/>
    </xf>
    <xf numFmtId="41" fontId="69" fillId="8" borderId="30" xfId="9" applyFont="1" applyFill="1" applyBorder="1" applyAlignment="1">
      <alignment horizontal="center"/>
    </xf>
    <xf numFmtId="0" fontId="89" fillId="8" borderId="24" xfId="0" applyFont="1" applyFill="1" applyBorder="1" applyAlignment="1">
      <alignment horizontal="center"/>
    </xf>
    <xf numFmtId="0" fontId="89" fillId="8" borderId="26" xfId="0" applyFont="1" applyFill="1" applyBorder="1" applyAlignment="1">
      <alignment horizontal="center"/>
    </xf>
    <xf numFmtId="0" fontId="73" fillId="8" borderId="36" xfId="0" applyFont="1" applyFill="1" applyBorder="1" applyAlignment="1">
      <alignment horizontal="center"/>
    </xf>
    <xf numFmtId="3" fontId="73" fillId="8" borderId="35" xfId="0" applyNumberFormat="1" applyFont="1" applyFill="1" applyBorder="1"/>
    <xf numFmtId="0" fontId="73" fillId="6" borderId="0" xfId="0" applyFont="1" applyFill="1"/>
    <xf numFmtId="0" fontId="73" fillId="8" borderId="21" xfId="0" applyFont="1" applyFill="1" applyBorder="1" applyAlignment="1">
      <alignment horizontal="center"/>
    </xf>
    <xf numFmtId="0" fontId="69" fillId="8" borderId="25" xfId="0" applyFont="1" applyFill="1" applyBorder="1"/>
    <xf numFmtId="41" fontId="73" fillId="8" borderId="0" xfId="9" applyFont="1" applyFill="1"/>
    <xf numFmtId="0" fontId="73" fillId="8" borderId="24" xfId="0" applyFont="1" applyFill="1" applyBorder="1" applyAlignment="1">
      <alignment horizontal="center"/>
    </xf>
    <xf numFmtId="0" fontId="73" fillId="8" borderId="26" xfId="0" applyFont="1" applyFill="1" applyBorder="1" applyAlignment="1">
      <alignment horizontal="center"/>
    </xf>
    <xf numFmtId="0" fontId="87" fillId="3" borderId="15" xfId="0" applyFont="1" applyFill="1" applyBorder="1" applyAlignment="1">
      <alignment vertical="center" wrapText="1"/>
    </xf>
    <xf numFmtId="0" fontId="80" fillId="3" borderId="15" xfId="0" applyFont="1" applyFill="1" applyBorder="1"/>
    <xf numFmtId="0" fontId="80" fillId="3" borderId="1" xfId="0" applyFont="1" applyFill="1" applyBorder="1" applyAlignment="1">
      <alignment vertical="center" wrapText="1"/>
    </xf>
    <xf numFmtId="3" fontId="80" fillId="3" borderId="1" xfId="0" applyNumberFormat="1" applyFont="1" applyFill="1" applyBorder="1" applyAlignment="1">
      <alignment horizontal="right" vertical="center" wrapText="1"/>
    </xf>
    <xf numFmtId="0" fontId="80" fillId="3" borderId="1" xfId="0" applyFont="1" applyFill="1" applyBorder="1"/>
    <xf numFmtId="0" fontId="87" fillId="3" borderId="1" xfId="0" applyFont="1" applyFill="1" applyBorder="1" applyAlignment="1">
      <alignment vertical="center" wrapText="1"/>
    </xf>
    <xf numFmtId="0" fontId="80" fillId="3" borderId="1" xfId="0" applyFont="1" applyFill="1" applyBorder="1" applyAlignment="1">
      <alignment horizontal="right" vertical="center" wrapText="1"/>
    </xf>
    <xf numFmtId="0" fontId="80" fillId="3" borderId="1" xfId="0" applyFont="1" applyFill="1" applyBorder="1" applyAlignment="1">
      <alignment horizontal="center" vertical="center" wrapText="1"/>
    </xf>
    <xf numFmtId="3" fontId="80" fillId="3" borderId="1" xfId="0" applyNumberFormat="1" applyFont="1" applyFill="1" applyBorder="1" applyAlignment="1">
      <alignment vertical="center" wrapText="1"/>
    </xf>
    <xf numFmtId="0" fontId="87" fillId="9" borderId="54" xfId="0" applyFont="1" applyFill="1" applyBorder="1" applyAlignment="1">
      <alignment vertical="center" wrapText="1"/>
    </xf>
    <xf numFmtId="0" fontId="80" fillId="9" borderId="27" xfId="0" applyFont="1" applyFill="1" applyBorder="1" applyAlignment="1">
      <alignment horizontal="center" vertical="center" wrapText="1"/>
    </xf>
    <xf numFmtId="0" fontId="80" fillId="9" borderId="27" xfId="0" applyFont="1" applyFill="1" applyBorder="1" applyAlignment="1">
      <alignment horizontal="center"/>
    </xf>
    <xf numFmtId="3" fontId="80" fillId="9" borderId="27" xfId="0" applyNumberFormat="1" applyFont="1" applyFill="1" applyBorder="1" applyAlignment="1">
      <alignment horizontal="center" vertical="center" wrapText="1"/>
    </xf>
    <xf numFmtId="0" fontId="80" fillId="9" borderId="53" xfId="0" applyFont="1" applyFill="1" applyBorder="1" applyAlignment="1">
      <alignment vertical="center" wrapText="1"/>
    </xf>
    <xf numFmtId="0" fontId="80" fillId="9" borderId="36" xfId="0" applyFont="1" applyFill="1" applyBorder="1" applyAlignment="1">
      <alignment horizontal="center" vertical="center" wrapText="1"/>
    </xf>
    <xf numFmtId="0" fontId="80" fillId="9" borderId="36" xfId="0" applyFont="1" applyFill="1" applyBorder="1" applyAlignment="1">
      <alignment horizontal="center"/>
    </xf>
    <xf numFmtId="3" fontId="80" fillId="9" borderId="36" xfId="0" applyNumberFormat="1" applyFont="1" applyFill="1" applyBorder="1" applyAlignment="1">
      <alignment horizontal="center" vertical="center" wrapText="1"/>
    </xf>
    <xf numFmtId="3" fontId="80" fillId="8" borderId="26" xfId="0" applyNumberFormat="1" applyFont="1" applyFill="1" applyBorder="1"/>
    <xf numFmtId="0" fontId="87" fillId="9" borderId="1" xfId="0" applyFont="1" applyFill="1" applyBorder="1" applyAlignment="1">
      <alignment vertical="center" wrapText="1"/>
    </xf>
    <xf numFmtId="0" fontId="80" fillId="9" borderId="1" xfId="0" applyFont="1" applyFill="1" applyBorder="1"/>
    <xf numFmtId="0" fontId="80" fillId="9" borderId="1" xfId="0" applyFont="1" applyFill="1" applyBorder="1" applyAlignment="1">
      <alignment vertical="center" wrapText="1"/>
    </xf>
    <xf numFmtId="3" fontId="80" fillId="9" borderId="1" xfId="0" applyNumberFormat="1" applyFont="1" applyFill="1" applyBorder="1" applyAlignment="1">
      <alignment horizontal="right" vertical="center" wrapText="1"/>
    </xf>
    <xf numFmtId="0" fontId="80" fillId="9" borderId="1" xfId="0" applyFont="1" applyFill="1" applyBorder="1" applyAlignment="1">
      <alignment horizontal="center" vertical="center" wrapText="1"/>
    </xf>
    <xf numFmtId="0" fontId="80" fillId="9" borderId="13" xfId="0" applyFont="1" applyFill="1" applyBorder="1" applyAlignment="1">
      <alignment vertical="center" wrapText="1"/>
    </xf>
    <xf numFmtId="3" fontId="80" fillId="9" borderId="13" xfId="0" applyNumberFormat="1" applyFont="1" applyFill="1" applyBorder="1" applyAlignment="1">
      <alignment horizontal="right" vertical="center" wrapText="1"/>
    </xf>
    <xf numFmtId="0" fontId="80" fillId="9" borderId="13" xfId="0" applyFont="1" applyFill="1" applyBorder="1" applyAlignment="1">
      <alignment horizontal="center" vertical="center" wrapText="1"/>
    </xf>
    <xf numFmtId="0" fontId="80" fillId="9" borderId="29" xfId="0" applyFont="1" applyFill="1" applyBorder="1" applyAlignment="1">
      <alignment horizontal="center" vertical="center" wrapText="1"/>
    </xf>
    <xf numFmtId="0" fontId="80" fillId="9" borderId="30" xfId="0" applyFont="1" applyFill="1" applyBorder="1" applyAlignment="1">
      <alignment horizontal="center" vertical="center" wrapText="1"/>
    </xf>
    <xf numFmtId="0" fontId="80" fillId="9" borderId="31" xfId="0" applyFont="1" applyFill="1" applyBorder="1" applyAlignment="1">
      <alignment horizontal="center" vertical="center" wrapText="1"/>
    </xf>
    <xf numFmtId="0" fontId="80" fillId="9" borderId="34" xfId="0" applyFont="1" applyFill="1" applyBorder="1" applyAlignment="1">
      <alignment horizontal="center" vertical="center" wrapText="1"/>
    </xf>
    <xf numFmtId="0" fontId="80" fillId="9" borderId="18" xfId="0" applyFont="1" applyFill="1" applyBorder="1" applyAlignment="1">
      <alignment horizontal="center" vertical="center" wrapText="1"/>
    </xf>
    <xf numFmtId="0" fontId="80" fillId="9" borderId="35" xfId="0" applyFont="1" applyFill="1" applyBorder="1" applyAlignment="1">
      <alignment horizontal="center" vertical="center" wrapText="1"/>
    </xf>
    <xf numFmtId="0" fontId="80" fillId="9" borderId="22" xfId="0" applyFont="1" applyFill="1" applyBorder="1"/>
    <xf numFmtId="0" fontId="80" fillId="9" borderId="16" xfId="0" applyFont="1" applyFill="1" applyBorder="1"/>
    <xf numFmtId="41" fontId="80" fillId="8" borderId="36" xfId="0" applyNumberFormat="1" applyFont="1" applyFill="1" applyBorder="1"/>
    <xf numFmtId="41" fontId="67" fillId="8" borderId="33" xfId="9" applyFont="1" applyFill="1" applyBorder="1" applyAlignment="1">
      <alignment vertical="center" wrapText="1"/>
    </xf>
    <xf numFmtId="0" fontId="62" fillId="8" borderId="32" xfId="0" applyFont="1" applyFill="1" applyBorder="1" applyAlignment="1">
      <alignment horizontal="center" vertical="center" wrapText="1"/>
    </xf>
    <xf numFmtId="0" fontId="64" fillId="8" borderId="32" xfId="0" applyFont="1" applyFill="1" applyBorder="1" applyAlignment="1">
      <alignment horizontal="center"/>
    </xf>
    <xf numFmtId="41" fontId="64" fillId="8" borderId="33" xfId="9" applyFont="1" applyFill="1" applyBorder="1"/>
    <xf numFmtId="3" fontId="62" fillId="8" borderId="27" xfId="0" applyNumberFormat="1" applyFont="1" applyFill="1" applyBorder="1" applyAlignment="1">
      <alignment horizontal="right" vertical="center" wrapText="1"/>
    </xf>
    <xf numFmtId="41" fontId="73" fillId="8" borderId="36" xfId="0" applyNumberFormat="1" applyFont="1" applyFill="1" applyBorder="1"/>
    <xf numFmtId="0" fontId="87" fillId="3" borderId="21" xfId="0" applyFont="1" applyFill="1" applyBorder="1" applyAlignment="1">
      <alignment vertical="center" wrapText="1"/>
    </xf>
    <xf numFmtId="0" fontId="80" fillId="3" borderId="21" xfId="0" applyFont="1" applyFill="1" applyBorder="1" applyAlignment="1">
      <alignment horizontal="center" vertical="center" wrapText="1"/>
    </xf>
    <xf numFmtId="0" fontId="80" fillId="3" borderId="25" xfId="0" applyFont="1" applyFill="1" applyBorder="1" applyAlignment="1">
      <alignment horizontal="center" vertical="center" wrapText="1"/>
    </xf>
    <xf numFmtId="0" fontId="80" fillId="3" borderId="26" xfId="0" applyFont="1" applyFill="1" applyBorder="1" applyAlignment="1">
      <alignment horizontal="center" vertical="center" wrapText="1"/>
    </xf>
    <xf numFmtId="0" fontId="80" fillId="3" borderId="15" xfId="0" applyFont="1" applyFill="1" applyBorder="1" applyAlignment="1">
      <alignment vertical="center" wrapText="1"/>
    </xf>
    <xf numFmtId="0" fontId="80" fillId="3" borderId="15" xfId="0" applyFont="1" applyFill="1" applyBorder="1" applyAlignment="1">
      <alignment horizontal="center" vertical="center" wrapText="1"/>
    </xf>
    <xf numFmtId="0" fontId="80" fillId="3" borderId="15" xfId="0" applyFont="1" applyFill="1" applyBorder="1" applyAlignment="1">
      <alignment horizontal="left" vertical="center" wrapText="1"/>
    </xf>
  </cellXfs>
  <cellStyles count="12">
    <cellStyle name="60% - akcent 1" xfId="7" xr:uid="{00000000-0005-0000-0000-000000000000}"/>
    <cellStyle name="Hipervínculo" xfId="1" builtinId="8"/>
    <cellStyle name="Millares" xfId="2" builtinId="3"/>
    <cellStyle name="Millares [0]" xfId="9" builtinId="6"/>
    <cellStyle name="Millares [0] 2" xfId="10" xr:uid="{E9DBC92E-C56D-413B-A39C-6F0E393B47BB}"/>
    <cellStyle name="Normal" xfId="0" builtinId="0"/>
    <cellStyle name="Normal 12" xfId="8" xr:uid="{00000000-0005-0000-0000-000004000000}"/>
    <cellStyle name="Normal 4" xfId="3" xr:uid="{00000000-0005-0000-0000-000005000000}"/>
    <cellStyle name="Normal_Conciliacion situación patrimonial SVS" xfId="4" xr:uid="{00000000-0005-0000-0000-000006000000}"/>
    <cellStyle name="Normal_Hoja1" xfId="11" xr:uid="{6900752F-2E77-40B4-ADD9-049A908C4948}"/>
    <cellStyle name="Normal_Modelo_informacion_web_2008-08-29" xfId="5" xr:uid="{00000000-0005-0000-0000-000008000000}"/>
    <cellStyle name="Porcentaje" xfId="6" builtinId="5"/>
  </cellStyles>
  <dxfs count="2">
    <dxf>
      <font>
        <color theme="0"/>
      </font>
      <fill>
        <patternFill>
          <bgColor rgb="FF3333FF"/>
        </patternFill>
      </fill>
    </dxf>
    <dxf>
      <font>
        <color theme="0" tint="-4.9989318521683403E-2"/>
      </font>
      <fill>
        <patternFill>
          <bgColor rgb="FF3333FF"/>
        </patternFill>
      </fill>
    </dxf>
  </dxfs>
  <tableStyles count="0" defaultTableStyle="TableStyleMedium9" defaultPivotStyle="PivotStyleLight16"/>
  <colors>
    <mruColors>
      <color rgb="FF0066FF"/>
      <color rgb="FF3333FF"/>
      <color rgb="FFE5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461328</xdr:colOff>
      <xdr:row>135</xdr:row>
      <xdr:rowOff>174625</xdr:rowOff>
    </xdr:from>
    <xdr:to>
      <xdr:col>7</xdr:col>
      <xdr:colOff>285750</xdr:colOff>
      <xdr:row>214</xdr:row>
      <xdr:rowOff>25400</xdr:rowOff>
    </xdr:to>
    <xdr:sp macro="" textlink="">
      <xdr:nvSpPr>
        <xdr:cNvPr id="4" name="Cerrar llave 3">
          <a:extLst>
            <a:ext uri="{FF2B5EF4-FFF2-40B4-BE49-F238E27FC236}">
              <a16:creationId xmlns:a16="http://schemas.microsoft.com/office/drawing/2014/main" id="{0304D885-3DC4-4082-A5A2-94F2306793CE}"/>
            </a:ext>
          </a:extLst>
        </xdr:cNvPr>
        <xdr:cNvSpPr/>
      </xdr:nvSpPr>
      <xdr:spPr>
        <a:xfrm>
          <a:off x="8602028" y="23809325"/>
          <a:ext cx="573722" cy="13007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6</xdr:col>
      <xdr:colOff>14288</xdr:colOff>
      <xdr:row>82</xdr:row>
      <xdr:rowOff>123825</xdr:rowOff>
    </xdr:from>
    <xdr:to>
      <xdr:col>9</xdr:col>
      <xdr:colOff>195263</xdr:colOff>
      <xdr:row>212</xdr:row>
      <xdr:rowOff>119062</xdr:rowOff>
    </xdr:to>
    <xdr:cxnSp macro="">
      <xdr:nvCxnSpPr>
        <xdr:cNvPr id="3" name="Conector recto de flecha 2">
          <a:extLst>
            <a:ext uri="{FF2B5EF4-FFF2-40B4-BE49-F238E27FC236}">
              <a16:creationId xmlns:a16="http://schemas.microsoft.com/office/drawing/2014/main" id="{5D61D1D7-A7B1-C419-72F6-27A733A67401}"/>
            </a:ext>
          </a:extLst>
        </xdr:cNvPr>
        <xdr:cNvCxnSpPr/>
      </xdr:nvCxnSpPr>
      <xdr:spPr>
        <a:xfrm flipV="1">
          <a:off x="8158163" y="15835313"/>
          <a:ext cx="4981575" cy="2162651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1852979</xdr:colOff>
      <xdr:row>98</xdr:row>
      <xdr:rowOff>22714</xdr:rowOff>
    </xdr:from>
    <xdr:to>
      <xdr:col>5</xdr:col>
      <xdr:colOff>367079</xdr:colOff>
      <xdr:row>100</xdr:row>
      <xdr:rowOff>204421</xdr:rowOff>
    </xdr:to>
    <xdr:sp macro="" textlink="">
      <xdr:nvSpPr>
        <xdr:cNvPr id="2" name="Flecha: curvada hacia abajo 1">
          <a:extLst>
            <a:ext uri="{FF2B5EF4-FFF2-40B4-BE49-F238E27FC236}">
              <a16:creationId xmlns:a16="http://schemas.microsoft.com/office/drawing/2014/main" id="{138AD4E4-9C9D-41D6-B026-DEF641C50BF0}"/>
            </a:ext>
          </a:extLst>
        </xdr:cNvPr>
        <xdr:cNvSpPr/>
      </xdr:nvSpPr>
      <xdr:spPr>
        <a:xfrm>
          <a:off x="2768844" y="22091406"/>
          <a:ext cx="5753100" cy="613996"/>
        </a:xfrm>
        <a:prstGeom prst="curved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chemeClr val="tx1"/>
            </a:solidFill>
          </a:endParaRPr>
        </a:p>
      </xdr:txBody>
    </xdr:sp>
    <xdr:clientData/>
  </xdr:twoCellAnchor>
  <xdr:twoCellAnchor>
    <xdr:from>
      <xdr:col>1</xdr:col>
      <xdr:colOff>1003300</xdr:colOff>
      <xdr:row>102</xdr:row>
      <xdr:rowOff>209550</xdr:rowOff>
    </xdr:from>
    <xdr:to>
      <xdr:col>1</xdr:col>
      <xdr:colOff>1009650</xdr:colOff>
      <xdr:row>105</xdr:row>
      <xdr:rowOff>50800</xdr:rowOff>
    </xdr:to>
    <xdr:cxnSp macro="">
      <xdr:nvCxnSpPr>
        <xdr:cNvPr id="3" name="Conector recto de flecha 2">
          <a:extLst>
            <a:ext uri="{FF2B5EF4-FFF2-40B4-BE49-F238E27FC236}">
              <a16:creationId xmlns:a16="http://schemas.microsoft.com/office/drawing/2014/main" id="{B81998B2-1F53-4744-B9EB-62A810232FC1}"/>
            </a:ext>
          </a:extLst>
        </xdr:cNvPr>
        <xdr:cNvCxnSpPr/>
      </xdr:nvCxnSpPr>
      <xdr:spPr>
        <a:xfrm flipH="1">
          <a:off x="1657350" y="21088350"/>
          <a:ext cx="6350" cy="482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103</xdr:row>
      <xdr:rowOff>6350</xdr:rowOff>
    </xdr:from>
    <xdr:to>
      <xdr:col>5</xdr:col>
      <xdr:colOff>647700</xdr:colOff>
      <xdr:row>104</xdr:row>
      <xdr:rowOff>44450</xdr:rowOff>
    </xdr:to>
    <xdr:cxnSp macro="">
      <xdr:nvCxnSpPr>
        <xdr:cNvPr id="4" name="Conector recto de flecha 3">
          <a:extLst>
            <a:ext uri="{FF2B5EF4-FFF2-40B4-BE49-F238E27FC236}">
              <a16:creationId xmlns:a16="http://schemas.microsoft.com/office/drawing/2014/main" id="{5199CC3D-467E-4F40-A893-DFB04FFE56DC}"/>
            </a:ext>
          </a:extLst>
        </xdr:cNvPr>
        <xdr:cNvCxnSpPr/>
      </xdr:nvCxnSpPr>
      <xdr:spPr>
        <a:xfrm>
          <a:off x="8045450" y="21101050"/>
          <a:ext cx="0"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784225</xdr:colOff>
      <xdr:row>0</xdr:row>
      <xdr:rowOff>76200</xdr:rowOff>
    </xdr:from>
    <xdr:to>
      <xdr:col>11</xdr:col>
      <xdr:colOff>628650</xdr:colOff>
      <xdr:row>5</xdr:row>
      <xdr:rowOff>57150</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7146925" y="76200"/>
          <a:ext cx="3400425" cy="84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900" b="1" baseline="0">
              <a:solidFill>
                <a:schemeClr val="dk1"/>
              </a:solidFill>
              <a:latin typeface="+mn-lt"/>
              <a:ea typeface="+mn-ea"/>
              <a:cs typeface="+mn-cs"/>
            </a:rPr>
            <a:t>(2) En esta columna deberá informar respecto de la condiciones de cobro o pago de</a:t>
          </a:r>
        </a:p>
        <a:p>
          <a:r>
            <a:rPr lang="es-ES" sz="900" b="1" baseline="0">
              <a:solidFill>
                <a:schemeClr val="dk1"/>
              </a:solidFill>
              <a:latin typeface="+mn-lt"/>
              <a:ea typeface="+mn-ea"/>
              <a:cs typeface="+mn-cs"/>
            </a:rPr>
            <a:t>las operaciones (plazo, tasas de interés, existencia de cláusulas de</a:t>
          </a:r>
        </a:p>
        <a:p>
          <a:r>
            <a:rPr lang="es-ES" sz="900" b="1" baseline="0">
              <a:solidFill>
                <a:schemeClr val="dk1"/>
              </a:solidFill>
              <a:latin typeface="+mn-lt"/>
              <a:ea typeface="+mn-ea"/>
              <a:cs typeface="+mn-cs"/>
            </a:rPr>
            <a:t>reajustabilidad, etc.).</a:t>
          </a:r>
          <a:endParaRPr lang="es-ES" sz="900"/>
        </a:p>
      </xdr:txBody>
    </xdr:sp>
    <xdr:clientData/>
  </xdr:twoCellAnchor>
  <xdr:twoCellAnchor>
    <xdr:from>
      <xdr:col>4</xdr:col>
      <xdr:colOff>349250</xdr:colOff>
      <xdr:row>0</xdr:row>
      <xdr:rowOff>76200</xdr:rowOff>
    </xdr:from>
    <xdr:to>
      <xdr:col>7</xdr:col>
      <xdr:colOff>609600</xdr:colOff>
      <xdr:row>5</xdr:row>
      <xdr:rowOff>9525</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4311650" y="76200"/>
          <a:ext cx="26606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900"/>
            <a:t>(1): </a:t>
          </a:r>
          <a:r>
            <a:rPr lang="es-ES" sz="900" b="1" baseline="0">
              <a:solidFill>
                <a:schemeClr val="dk1"/>
              </a:solidFill>
              <a:latin typeface="+mn-lt"/>
              <a:ea typeface="+mn-ea"/>
              <a:cs typeface="+mn-cs"/>
            </a:rPr>
            <a:t>Plazo que queda en meses para el cobro total o extinción de la deuda a partir de la</a:t>
          </a:r>
        </a:p>
        <a:p>
          <a:r>
            <a:rPr lang="es-ES" sz="900" b="1" baseline="0">
              <a:solidFill>
                <a:schemeClr val="dk1"/>
              </a:solidFill>
              <a:latin typeface="+mn-lt"/>
              <a:ea typeface="+mn-ea"/>
              <a:cs typeface="+mn-cs"/>
            </a:rPr>
            <a:t>fecha de los estados financieros.</a:t>
          </a:r>
          <a:endParaRPr lang="es-ES"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161925</xdr:colOff>
      <xdr:row>0</xdr:row>
      <xdr:rowOff>9526</xdr:rowOff>
    </xdr:from>
    <xdr:to>
      <xdr:col>13</xdr:col>
      <xdr:colOff>1695450</xdr:colOff>
      <xdr:row>2</xdr:row>
      <xdr:rowOff>114301</xdr:rowOff>
    </xdr:to>
    <xdr:sp macro="" textlink="">
      <xdr:nvSpPr>
        <xdr:cNvPr id="2" name="1 Rectángulo">
          <a:extLst>
            <a:ext uri="{FF2B5EF4-FFF2-40B4-BE49-F238E27FC236}">
              <a16:creationId xmlns:a16="http://schemas.microsoft.com/office/drawing/2014/main" id="{00000000-0008-0000-1B00-000002000000}"/>
            </a:ext>
          </a:extLst>
        </xdr:cNvPr>
        <xdr:cNvSpPr/>
      </xdr:nvSpPr>
      <xdr:spPr>
        <a:xfrm>
          <a:off x="12820650" y="9526"/>
          <a:ext cx="3600450" cy="45720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L" sz="1200" b="1">
              <a:solidFill>
                <a:srgbClr val="FF0000"/>
              </a:solidFill>
            </a:rPr>
            <a:t>Favor Ingresar</a:t>
          </a:r>
          <a:r>
            <a:rPr lang="es-CL" sz="1200" b="1" baseline="0">
              <a:solidFill>
                <a:srgbClr val="FF0000"/>
              </a:solidFill>
            </a:rPr>
            <a:t> la Agrupación y Subagrupación donde se registro en el Estado de Resultado la Transacción</a:t>
          </a:r>
        </a:p>
        <a:p>
          <a:pPr algn="ctr"/>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0</xdr:col>
      <xdr:colOff>1739900</xdr:colOff>
      <xdr:row>0</xdr:row>
      <xdr:rowOff>400050</xdr:rowOff>
    </xdr:to>
    <xdr:pic>
      <xdr:nvPicPr>
        <xdr:cNvPr id="2" name="Imagen 5">
          <a:extLst>
            <a:ext uri="{FF2B5EF4-FFF2-40B4-BE49-F238E27FC236}">
              <a16:creationId xmlns:a16="http://schemas.microsoft.com/office/drawing/2014/main" id="{668AC18B-0EC3-4848-8DE4-23E3AC678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1720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552450</xdr:colOff>
      <xdr:row>72</xdr:row>
      <xdr:rowOff>0</xdr:rowOff>
    </xdr:from>
    <xdr:to>
      <xdr:col>6</xdr:col>
      <xdr:colOff>171450</xdr:colOff>
      <xdr:row>85</xdr:row>
      <xdr:rowOff>38100</xdr:rowOff>
    </xdr:to>
    <xdr:pic>
      <xdr:nvPicPr>
        <xdr:cNvPr id="3" name="Imagen 2">
          <a:extLst>
            <a:ext uri="{FF2B5EF4-FFF2-40B4-BE49-F238E27FC236}">
              <a16:creationId xmlns:a16="http://schemas.microsoft.com/office/drawing/2014/main" id="{5A9542CD-2283-C174-AE0D-AC0D40C3718A}"/>
            </a:ext>
          </a:extLst>
        </xdr:cNvPr>
        <xdr:cNvPicPr>
          <a:picLocks noChangeAspect="1"/>
        </xdr:cNvPicPr>
      </xdr:nvPicPr>
      <xdr:blipFill>
        <a:blip xmlns:r="http://schemas.openxmlformats.org/officeDocument/2006/relationships" r:embed="rId1"/>
        <a:stretch>
          <a:fillRect/>
        </a:stretch>
      </xdr:blipFill>
      <xdr:spPr>
        <a:xfrm>
          <a:off x="676275" y="14201775"/>
          <a:ext cx="6705600" cy="2676525"/>
        </a:xfrm>
        <a:prstGeom prst="rect">
          <a:avLst/>
        </a:prstGeom>
        <a:ln w="28575">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190499</xdr:colOff>
      <xdr:row>2</xdr:row>
      <xdr:rowOff>132045</xdr:rowOff>
    </xdr:from>
    <xdr:to>
      <xdr:col>17</xdr:col>
      <xdr:colOff>238124</xdr:colOff>
      <xdr:row>21</xdr:row>
      <xdr:rowOff>133350</xdr:rowOff>
    </xdr:to>
    <xdr:pic>
      <xdr:nvPicPr>
        <xdr:cNvPr id="2" name="Imagen 1">
          <a:extLst>
            <a:ext uri="{FF2B5EF4-FFF2-40B4-BE49-F238E27FC236}">
              <a16:creationId xmlns:a16="http://schemas.microsoft.com/office/drawing/2014/main" id="{ACB8602F-CF88-4A62-9FC6-F72F2D7465FC}"/>
            </a:ext>
          </a:extLst>
        </xdr:cNvPr>
        <xdr:cNvPicPr>
          <a:picLocks noChangeAspect="1"/>
        </xdr:cNvPicPr>
      </xdr:nvPicPr>
      <xdr:blipFill>
        <a:blip xmlns:r="http://schemas.openxmlformats.org/officeDocument/2006/relationships" r:embed="rId1"/>
        <a:stretch>
          <a:fillRect/>
        </a:stretch>
      </xdr:blipFill>
      <xdr:spPr>
        <a:xfrm>
          <a:off x="7048499" y="493995"/>
          <a:ext cx="6143625" cy="3439830"/>
        </a:xfrm>
        <a:prstGeom prst="rect">
          <a:avLst/>
        </a:prstGeom>
      </xdr:spPr>
    </xdr:pic>
    <xdr:clientData/>
  </xdr:twoCellAnchor>
  <xdr:twoCellAnchor>
    <xdr:from>
      <xdr:col>6</xdr:col>
      <xdr:colOff>361950</xdr:colOff>
      <xdr:row>3</xdr:row>
      <xdr:rowOff>161925</xdr:rowOff>
    </xdr:from>
    <xdr:to>
      <xdr:col>9</xdr:col>
      <xdr:colOff>161925</xdr:colOff>
      <xdr:row>14</xdr:row>
      <xdr:rowOff>76200</xdr:rowOff>
    </xdr:to>
    <xdr:sp macro="" textlink="">
      <xdr:nvSpPr>
        <xdr:cNvPr id="3" name="Rectángulo 2">
          <a:extLst>
            <a:ext uri="{FF2B5EF4-FFF2-40B4-BE49-F238E27FC236}">
              <a16:creationId xmlns:a16="http://schemas.microsoft.com/office/drawing/2014/main" id="{46E7525F-2AE4-3171-DD88-0D22354DC7C8}"/>
            </a:ext>
          </a:extLst>
        </xdr:cNvPr>
        <xdr:cNvSpPr/>
      </xdr:nvSpPr>
      <xdr:spPr>
        <a:xfrm>
          <a:off x="4933950" y="704850"/>
          <a:ext cx="2085975" cy="1905000"/>
        </a:xfrm>
        <a:prstGeom prst="rect">
          <a:avLst/>
        </a:prstGeom>
        <a:noFill/>
        <a:ln w="50800">
          <a:solidFill>
            <a:srgbClr val="EE0000">
              <a:alpha val="99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692150</xdr:colOff>
      <xdr:row>56</xdr:row>
      <xdr:rowOff>12700</xdr:rowOff>
    </xdr:from>
    <xdr:to>
      <xdr:col>4</xdr:col>
      <xdr:colOff>692150</xdr:colOff>
      <xdr:row>58</xdr:row>
      <xdr:rowOff>76200</xdr:rowOff>
    </xdr:to>
    <xdr:cxnSp macro="">
      <xdr:nvCxnSpPr>
        <xdr:cNvPr id="2" name="Conector recto de flecha 1">
          <a:extLst>
            <a:ext uri="{FF2B5EF4-FFF2-40B4-BE49-F238E27FC236}">
              <a16:creationId xmlns:a16="http://schemas.microsoft.com/office/drawing/2014/main" id="{05E51538-F6CC-4CD7-A61D-B2C3DC8960D0}"/>
            </a:ext>
          </a:extLst>
        </xdr:cNvPr>
        <xdr:cNvCxnSpPr/>
      </xdr:nvCxnSpPr>
      <xdr:spPr>
        <a:xfrm>
          <a:off x="4953000" y="10077450"/>
          <a:ext cx="0" cy="438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476250</xdr:colOff>
      <xdr:row>51</xdr:row>
      <xdr:rowOff>6350</xdr:rowOff>
    </xdr:from>
    <xdr:to>
      <xdr:col>5</xdr:col>
      <xdr:colOff>482600</xdr:colOff>
      <xdr:row>53</xdr:row>
      <xdr:rowOff>57150</xdr:rowOff>
    </xdr:to>
    <xdr:cxnSp macro="">
      <xdr:nvCxnSpPr>
        <xdr:cNvPr id="3" name="Conector recto de flecha 2">
          <a:extLst>
            <a:ext uri="{FF2B5EF4-FFF2-40B4-BE49-F238E27FC236}">
              <a16:creationId xmlns:a16="http://schemas.microsoft.com/office/drawing/2014/main" id="{B930749A-B88B-4828-B3AF-968E751148E4}"/>
            </a:ext>
          </a:extLst>
        </xdr:cNvPr>
        <xdr:cNvCxnSpPr/>
      </xdr:nvCxnSpPr>
      <xdr:spPr>
        <a:xfrm flipH="1" flipV="1">
          <a:off x="6197600" y="9144000"/>
          <a:ext cx="6350" cy="419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946150</xdr:colOff>
      <xdr:row>56</xdr:row>
      <xdr:rowOff>12700</xdr:rowOff>
    </xdr:from>
    <xdr:to>
      <xdr:col>6</xdr:col>
      <xdr:colOff>952500</xdr:colOff>
      <xdr:row>57</xdr:row>
      <xdr:rowOff>177800</xdr:rowOff>
    </xdr:to>
    <xdr:cxnSp macro="">
      <xdr:nvCxnSpPr>
        <xdr:cNvPr id="4" name="Conector recto de flecha 3">
          <a:extLst>
            <a:ext uri="{FF2B5EF4-FFF2-40B4-BE49-F238E27FC236}">
              <a16:creationId xmlns:a16="http://schemas.microsoft.com/office/drawing/2014/main" id="{A00DFA91-01CF-45FB-9BEA-6EDC3A697F03}"/>
            </a:ext>
          </a:extLst>
        </xdr:cNvPr>
        <xdr:cNvCxnSpPr/>
      </xdr:nvCxnSpPr>
      <xdr:spPr>
        <a:xfrm>
          <a:off x="7975600" y="10077450"/>
          <a:ext cx="6350" cy="355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131762</xdr:colOff>
      <xdr:row>20</xdr:row>
      <xdr:rowOff>46038</xdr:rowOff>
    </xdr:from>
    <xdr:to>
      <xdr:col>9</xdr:col>
      <xdr:colOff>166687</xdr:colOff>
      <xdr:row>21</xdr:row>
      <xdr:rowOff>185738</xdr:rowOff>
    </xdr:to>
    <xdr:sp macro="" textlink="">
      <xdr:nvSpPr>
        <xdr:cNvPr id="2" name="Cerrar llave 1">
          <a:extLst>
            <a:ext uri="{FF2B5EF4-FFF2-40B4-BE49-F238E27FC236}">
              <a16:creationId xmlns:a16="http://schemas.microsoft.com/office/drawing/2014/main" id="{77DBF6A6-C9CD-4AEB-9602-206CE5F2F2A8}"/>
            </a:ext>
          </a:extLst>
        </xdr:cNvPr>
        <xdr:cNvSpPr/>
      </xdr:nvSpPr>
      <xdr:spPr>
        <a:xfrm rot="5400000">
          <a:off x="4945062" y="2352676"/>
          <a:ext cx="346075" cy="41783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E604D771-4BC5-4720-B419-0BE03AC4F99D}"/>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105D6550-A255-4383-AE6B-0C63DE32168C}"/>
            </a:ext>
          </a:extLst>
        </xdr:cNvPr>
        <xdr:cNvSpPr/>
      </xdr:nvSpPr>
      <xdr:spPr>
        <a:xfrm rot="5400000">
          <a:off x="6745924" y="1956755"/>
          <a:ext cx="66672" cy="56489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ACF8FD07-ED78-4960-B19C-E70A1B2EB40B}"/>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9D6F50F5-096F-4212-BF11-69E7ABFF423D}"/>
            </a:ext>
          </a:extLst>
        </xdr:cNvPr>
        <xdr:cNvSpPr/>
      </xdr:nvSpPr>
      <xdr:spPr>
        <a:xfrm rot="5400000">
          <a:off x="6745924" y="1956755"/>
          <a:ext cx="66672" cy="56489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2AF26EA4-548A-49E4-8B35-7ED034BEC9FF}"/>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8D4C167F-056B-4491-B482-A26D8DFB9612}"/>
            </a:ext>
          </a:extLst>
        </xdr:cNvPr>
        <xdr:cNvSpPr/>
      </xdr:nvSpPr>
      <xdr:spPr>
        <a:xfrm rot="5400000">
          <a:off x="6818314" y="1884365"/>
          <a:ext cx="66672" cy="579374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e%202021/I%20Semestre/Vespertino/Auditor&#237;a%20EEFF%20II/01.%20Ejercicio%20Auditor&#237;a%20II%200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e 8 Columnas"/>
      <sheetName val="Bce Clasificado 01.01.2021"/>
      <sheetName val="Materialidad"/>
      <sheetName val="LET"/>
      <sheetName val="03 Leasing"/>
      <sheetName val="Procedimientos"/>
      <sheetName val="Analisis de cuentas"/>
      <sheetName val="Antecedentes"/>
      <sheetName val="00 Ajustes Iniciales"/>
      <sheetName val="02 PPE"/>
      <sheetName val="Tasación Terrenos"/>
      <sheetName val="Tasación oficina"/>
      <sheetName val="07 Inventarios"/>
      <sheetName val="08 Biologicos"/>
      <sheetName val="01 Efectivo"/>
      <sheetName val="04 Inversiones"/>
      <sheetName val="05 Deterioro"/>
      <sheetName val="06 Préstamos"/>
      <sheetName val="09 Inv VP"/>
      <sheetName val="10 Prov"/>
      <sheetName val="11 Intangibles"/>
      <sheetName val="12 Marcas"/>
      <sheetName val="13 Diferidos"/>
      <sheetName val="Datos"/>
      <sheetName val="Est Situacion"/>
      <sheetName val="E°R° Natural SVS "/>
      <sheetName val="Mov Patrimonial"/>
      <sheetName val="Conciliación de Patrimonio"/>
      <sheetName val="Div o Retiros"/>
      <sheetName val="Nº8a efec y eq"/>
      <sheetName val="Nº9 Col cred Social"/>
      <sheetName val="Nº10 Deu previsionales"/>
      <sheetName val="Nº11a Act x Mut Hip endo"/>
      <sheetName val="Nº11b Act x Mut Hip endo"/>
      <sheetName val="Otros Activos Financieros"/>
      <sheetName val="Nº21 Ot Act No Fin"/>
      <sheetName val="Nº12 Deu Com y otxcob cte"/>
      <sheetName val="N12 Estratificación CxC b)"/>
      <sheetName val="Nº12 Deu Com y otxcob cte (b)"/>
      <sheetName val="Nº16a ctas EERR"/>
      <sheetName val="Nº16b Trans EERR "/>
      <sheetName val="Nº16 Rem pers Clave"/>
      <sheetName val="Nº15 Inventario"/>
      <sheetName val="Nº19 Imp cte y dif"/>
      <sheetName val="Nº14 a) Inversion en Soc"/>
      <sheetName val="Nº17 Intangible"/>
      <sheetName val="Nº39 Plusvalia"/>
      <sheetName val="Nº18 Pr Plt Eq"/>
      <sheetName val="Nº20 Col cred Social"/>
      <sheetName val="Nº22 Pas x Mut Hip"/>
      <sheetName val="Nº23a Ot Pas Fin"/>
      <sheetName val="Nº24 Cta x pag Comerciales"/>
      <sheetName val="Nº25 Prov Cred Social"/>
      <sheetName val="Nº26 Ot Pas NO Fin"/>
      <sheetName val="Nº40 Benf a los empl"/>
      <sheetName val="Nº28 Ing Ord"/>
      <sheetName val="Nº29 Ing Int y Rea"/>
      <sheetName val="Nº30 Gto x Int y Rea"/>
      <sheetName val="Nº31 Prestaciones adic"/>
      <sheetName val="Nº32 Ing Gto por Comisiones"/>
      <sheetName val="Nº33 Prov por riesgo cred"/>
      <sheetName val="Nº34 Ot Ing y gtos operacionale"/>
      <sheetName val="Nº35 Rem y Gto personal"/>
      <sheetName val="Nº36 Gto Adm"/>
      <sheetName val="Nº36 a) Gto benef a empleados "/>
      <sheetName val="Nº36 b) Deterioro"/>
      <sheetName val="Nº36 c) Otros gtos por nat"/>
      <sheetName val="Nº42 Otr Gan (Per)"/>
      <sheetName val="Nº 41 Costo finan"/>
      <sheetName val="Nº 43 Liquidez"/>
      <sheetName val="Nº45 nºempleados"/>
      <sheetName val="Nº46 Contingencias"/>
      <sheetName val="Nº37 Aun-Dis coloc credi socia"/>
    </sheetNames>
    <sheetDataSet>
      <sheetData sheetId="0" refreshError="1"/>
      <sheetData sheetId="1" refreshError="1">
        <row r="1">
          <cell r="B1" t="str">
            <v>Colegio de Contadores de Chile A.G.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7" dT="2020-11-02T17:04:41.51" personId="{00000000-0000-0000-0000-000000000000}" id="{06F1A03D-45A7-4562-ABFC-3417D9AA685B}">
    <text>BAJO -MEDIO - ALTO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26.bin"/><Relationship Id="rId4" Type="http://schemas.openxmlformats.org/officeDocument/2006/relationships/comments" Target="../comments4.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4959F-5794-44E0-8BAE-1CB9D569095B}">
  <sheetPr>
    <pageSetUpPr fitToPage="1"/>
  </sheetPr>
  <dimension ref="B1:G137"/>
  <sheetViews>
    <sheetView zoomScale="150" zoomScaleNormal="150" workbookViewId="0">
      <pane ySplit="6" topLeftCell="A111" activePane="bottomLeft" state="frozen"/>
      <selection pane="bottomLeft" activeCell="B12" sqref="B12"/>
    </sheetView>
  </sheetViews>
  <sheetFormatPr baseColWidth="10" defaultColWidth="10.86328125" defaultRowHeight="14.25"/>
  <cols>
    <col min="1" max="1" width="3.19921875" style="211" customWidth="1"/>
    <col min="2" max="2" width="45.19921875" style="654" bestFit="1" customWidth="1"/>
    <col min="3" max="4" width="15.1328125" style="1840" bestFit="1" customWidth="1"/>
    <col min="5" max="5" width="15.33203125" style="1840" customWidth="1"/>
    <col min="6" max="6" width="15.796875" style="1840" customWidth="1"/>
    <col min="7" max="16384" width="10.86328125" style="211"/>
  </cols>
  <sheetData>
    <row r="1" spans="2:6">
      <c r="B1" s="655" t="s">
        <v>934</v>
      </c>
    </row>
    <row r="2" spans="2:6">
      <c r="B2" s="655" t="s">
        <v>1637</v>
      </c>
    </row>
    <row r="3" spans="2:6">
      <c r="B3" s="655" t="s">
        <v>1462</v>
      </c>
    </row>
    <row r="4" spans="2:6" ht="1.1499999999999999" customHeight="1" thickBot="1"/>
    <row r="5" spans="2:6" ht="14.65" thickBot="1">
      <c r="B5" s="2011" t="s">
        <v>917</v>
      </c>
      <c r="C5" s="2013" t="s">
        <v>17</v>
      </c>
      <c r="D5" s="2014"/>
      <c r="E5" s="2015" t="s">
        <v>445</v>
      </c>
      <c r="F5" s="2014"/>
    </row>
    <row r="6" spans="2:6" ht="14.65" thickBot="1">
      <c r="B6" s="2012"/>
      <c r="C6" s="1841" t="s">
        <v>294</v>
      </c>
      <c r="D6" s="1842" t="s">
        <v>295</v>
      </c>
      <c r="E6" s="1843" t="s">
        <v>918</v>
      </c>
      <c r="F6" s="1843" t="s">
        <v>919</v>
      </c>
    </row>
    <row r="7" spans="2:6" s="1869" customFormat="1">
      <c r="B7" s="1865" t="s">
        <v>1430</v>
      </c>
      <c r="C7" s="1866">
        <v>50000000</v>
      </c>
      <c r="D7" s="1867"/>
      <c r="E7" s="1868"/>
      <c r="F7" s="1868"/>
    </row>
    <row r="8" spans="2:6" s="1869" customFormat="1">
      <c r="B8" s="1870" t="s">
        <v>938</v>
      </c>
      <c r="C8" s="1866">
        <v>60000000</v>
      </c>
      <c r="D8" s="1867"/>
      <c r="E8" s="1868"/>
      <c r="F8" s="1868"/>
    </row>
    <row r="9" spans="2:6" s="1869" customFormat="1">
      <c r="B9" s="1870" t="s">
        <v>940</v>
      </c>
      <c r="C9" s="1866">
        <v>1000000</v>
      </c>
      <c r="D9" s="1867"/>
      <c r="E9" s="1868"/>
      <c r="F9" s="1868"/>
    </row>
    <row r="10" spans="2:6" s="1869" customFormat="1">
      <c r="B10" s="1870" t="s">
        <v>942</v>
      </c>
      <c r="C10" s="1866">
        <v>40000000</v>
      </c>
      <c r="D10" s="1867"/>
      <c r="E10" s="1868"/>
      <c r="F10" s="1868"/>
    </row>
    <row r="11" spans="2:6" s="1869" customFormat="1">
      <c r="B11" s="1870" t="s">
        <v>944</v>
      </c>
      <c r="C11" s="1866">
        <v>50000000</v>
      </c>
      <c r="D11" s="1867"/>
      <c r="E11" s="1868"/>
      <c r="F11" s="1868"/>
    </row>
    <row r="12" spans="2:6" s="1869" customFormat="1">
      <c r="B12" s="1870" t="s">
        <v>946</v>
      </c>
      <c r="C12" s="1866">
        <v>10000000</v>
      </c>
      <c r="D12" s="1867"/>
      <c r="E12" s="1868"/>
      <c r="F12" s="1868"/>
    </row>
    <row r="13" spans="2:6" s="1869" customFormat="1">
      <c r="B13" s="1870" t="s">
        <v>947</v>
      </c>
      <c r="C13" s="1866">
        <v>2500000</v>
      </c>
      <c r="D13" s="1867"/>
      <c r="E13" s="1868"/>
      <c r="F13" s="1868"/>
    </row>
    <row r="14" spans="2:6" s="1869" customFormat="1">
      <c r="B14" s="1870" t="s">
        <v>948</v>
      </c>
      <c r="C14" s="1866">
        <v>120000000</v>
      </c>
      <c r="D14" s="1867"/>
      <c r="E14" s="1868"/>
      <c r="F14" s="1868"/>
    </row>
    <row r="15" spans="2:6" s="1875" customFormat="1">
      <c r="B15" s="1871" t="s">
        <v>1463</v>
      </c>
      <c r="C15" s="1872">
        <v>100000000</v>
      </c>
      <c r="D15" s="1873"/>
      <c r="E15" s="1874"/>
      <c r="F15" s="1874"/>
    </row>
    <row r="16" spans="2:6" s="1875" customFormat="1">
      <c r="B16" s="1871" t="s">
        <v>1464</v>
      </c>
      <c r="C16" s="1872">
        <v>40000000</v>
      </c>
      <c r="D16" s="1873"/>
      <c r="E16" s="1874"/>
      <c r="F16" s="1874"/>
    </row>
    <row r="17" spans="2:6" s="1875" customFormat="1">
      <c r="B17" s="1871" t="s">
        <v>1465</v>
      </c>
      <c r="C17" s="1872">
        <v>80000000</v>
      </c>
      <c r="D17" s="1873"/>
      <c r="E17" s="1874"/>
      <c r="F17" s="1874"/>
    </row>
    <row r="18" spans="2:6" s="1875" customFormat="1">
      <c r="B18" s="1871" t="s">
        <v>1466</v>
      </c>
      <c r="C18" s="1872">
        <v>120000000</v>
      </c>
      <c r="D18" s="1873"/>
      <c r="E18" s="1874"/>
      <c r="F18" s="1874"/>
    </row>
    <row r="19" spans="2:6" s="1875" customFormat="1">
      <c r="B19" s="1876" t="s">
        <v>954</v>
      </c>
      <c r="C19" s="1872">
        <v>50540000</v>
      </c>
      <c r="D19" s="1873"/>
      <c r="E19" s="1874"/>
      <c r="F19" s="1874"/>
    </row>
    <row r="20" spans="2:6" s="1875" customFormat="1">
      <c r="B20" s="1876" t="s">
        <v>1431</v>
      </c>
      <c r="C20" s="1872">
        <v>160000000</v>
      </c>
      <c r="D20" s="1873"/>
      <c r="E20" s="1874"/>
      <c r="F20" s="1874"/>
    </row>
    <row r="21" spans="2:6" s="1881" customFormat="1">
      <c r="B21" s="1877" t="s">
        <v>955</v>
      </c>
      <c r="C21" s="1878">
        <v>3000000</v>
      </c>
      <c r="D21" s="1879"/>
      <c r="E21" s="1880"/>
      <c r="F21" s="1880"/>
    </row>
    <row r="22" spans="2:6" s="1881" customFormat="1">
      <c r="B22" s="1877" t="s">
        <v>957</v>
      </c>
      <c r="C22" s="1878">
        <v>4000000</v>
      </c>
      <c r="D22" s="1879"/>
      <c r="E22" s="1880"/>
      <c r="F22" s="1880"/>
    </row>
    <row r="23" spans="2:6" s="1881" customFormat="1">
      <c r="B23" s="1877" t="s">
        <v>958</v>
      </c>
      <c r="C23" s="1878">
        <v>5000000</v>
      </c>
      <c r="D23" s="1879"/>
      <c r="E23" s="1880"/>
      <c r="F23" s="1880"/>
    </row>
    <row r="24" spans="2:6" s="1881" customFormat="1">
      <c r="B24" s="1877" t="s">
        <v>960</v>
      </c>
      <c r="C24" s="1878">
        <v>5000000</v>
      </c>
      <c r="D24" s="1879"/>
      <c r="E24" s="1880"/>
      <c r="F24" s="1880"/>
    </row>
    <row r="25" spans="2:6" s="1881" customFormat="1">
      <c r="B25" s="1877" t="s">
        <v>962</v>
      </c>
      <c r="C25" s="1878">
        <v>10000000</v>
      </c>
      <c r="D25" s="1879"/>
      <c r="E25" s="1880"/>
      <c r="F25" s="1880"/>
    </row>
    <row r="26" spans="2:6" s="1889" customFormat="1">
      <c r="B26" s="1885" t="s">
        <v>1432</v>
      </c>
      <c r="C26" s="1886">
        <v>40000000</v>
      </c>
      <c r="D26" s="1887"/>
      <c r="E26" s="1888"/>
      <c r="F26" s="1888"/>
    </row>
    <row r="27" spans="2:6" s="1889" customFormat="1">
      <c r="B27" s="1885" t="s">
        <v>965</v>
      </c>
      <c r="C27" s="1886">
        <v>50000000</v>
      </c>
      <c r="D27" s="1887"/>
      <c r="E27" s="1888"/>
      <c r="F27" s="1888"/>
    </row>
    <row r="28" spans="2:6" s="1889" customFormat="1">
      <c r="B28" s="1885" t="s">
        <v>1338</v>
      </c>
      <c r="C28" s="1890">
        <v>124000000</v>
      </c>
      <c r="D28" s="1887"/>
      <c r="E28" s="1888"/>
      <c r="F28" s="1888"/>
    </row>
    <row r="29" spans="2:6" s="1889" customFormat="1">
      <c r="B29" s="1885" t="s">
        <v>966</v>
      </c>
      <c r="C29" s="1886">
        <v>30000000</v>
      </c>
      <c r="D29" s="1887"/>
      <c r="E29" s="1888"/>
      <c r="F29" s="1888"/>
    </row>
    <row r="30" spans="2:6" s="1889" customFormat="1">
      <c r="B30" s="1885" t="s">
        <v>967</v>
      </c>
      <c r="C30" s="1886">
        <v>40000000</v>
      </c>
      <c r="D30" s="1887"/>
      <c r="E30" s="1888"/>
      <c r="F30" s="1888"/>
    </row>
    <row r="31" spans="2:6" s="1889" customFormat="1">
      <c r="B31" s="1885" t="s">
        <v>968</v>
      </c>
      <c r="C31" s="1890">
        <v>300210000</v>
      </c>
      <c r="D31" s="1887"/>
      <c r="E31" s="1888"/>
      <c r="F31" s="1888"/>
    </row>
    <row r="32" spans="2:6" s="1889" customFormat="1">
      <c r="B32" s="1885" t="s">
        <v>969</v>
      </c>
      <c r="C32" s="1890"/>
      <c r="D32" s="1887">
        <v>39021000</v>
      </c>
      <c r="E32" s="1888"/>
      <c r="F32" s="1888"/>
    </row>
    <row r="33" spans="2:6" s="1889" customFormat="1">
      <c r="B33" s="1885" t="s">
        <v>970</v>
      </c>
      <c r="C33" s="1886"/>
      <c r="D33" s="1887">
        <v>20000000</v>
      </c>
      <c r="E33" s="1888"/>
      <c r="F33" s="1888"/>
    </row>
    <row r="34" spans="2:6" s="1875" customFormat="1">
      <c r="B34" s="1876" t="s">
        <v>1433</v>
      </c>
      <c r="C34" s="1872">
        <v>300000000</v>
      </c>
      <c r="D34" s="1873"/>
      <c r="E34" s="1874"/>
      <c r="F34" s="1874"/>
    </row>
    <row r="35" spans="2:6" s="1875" customFormat="1">
      <c r="B35" s="1876" t="s">
        <v>1434</v>
      </c>
      <c r="C35" s="1872">
        <v>400000000</v>
      </c>
      <c r="D35" s="1873"/>
      <c r="E35" s="1874"/>
      <c r="F35" s="1874"/>
    </row>
    <row r="36" spans="2:6" s="1875" customFormat="1">
      <c r="B36" s="1876" t="s">
        <v>1435</v>
      </c>
      <c r="C36" s="1872">
        <v>65550000</v>
      </c>
      <c r="D36" s="1873"/>
      <c r="E36" s="1874"/>
      <c r="F36" s="1874"/>
    </row>
    <row r="37" spans="2:6" s="1895" customFormat="1">
      <c r="B37" s="1891" t="s">
        <v>979</v>
      </c>
      <c r="C37" s="1892">
        <v>94760000</v>
      </c>
      <c r="D37" s="1893"/>
      <c r="E37" s="1894"/>
      <c r="F37" s="1894"/>
    </row>
    <row r="38" spans="2:6" s="1900" customFormat="1">
      <c r="B38" s="1896" t="s">
        <v>974</v>
      </c>
      <c r="C38" s="1897">
        <v>134629000</v>
      </c>
      <c r="D38" s="1898"/>
      <c r="E38" s="1899"/>
      <c r="F38" s="1899"/>
    </row>
    <row r="39" spans="2:6" s="1900" customFormat="1">
      <c r="B39" s="1896" t="s">
        <v>975</v>
      </c>
      <c r="C39" s="1897">
        <v>15000000</v>
      </c>
      <c r="D39" s="1898"/>
      <c r="E39" s="1899"/>
      <c r="F39" s="1899"/>
    </row>
    <row r="40" spans="2:6" s="1900" customFormat="1">
      <c r="B40" s="1896" t="s">
        <v>977</v>
      </c>
      <c r="C40" s="1897">
        <v>3000000</v>
      </c>
      <c r="D40" s="1898"/>
      <c r="E40" s="1899"/>
      <c r="F40" s="1899"/>
    </row>
    <row r="41" spans="2:6" s="1905" customFormat="1">
      <c r="B41" s="1901" t="s">
        <v>1448</v>
      </c>
      <c r="C41" s="1902">
        <v>195000000</v>
      </c>
      <c r="D41" s="1903"/>
      <c r="E41" s="1904"/>
      <c r="F41" s="1904"/>
    </row>
    <row r="42" spans="2:6" s="1905" customFormat="1">
      <c r="B42" s="1901" t="s">
        <v>1449</v>
      </c>
      <c r="C42" s="1902">
        <v>185000000</v>
      </c>
      <c r="D42" s="1903"/>
      <c r="E42" s="1904"/>
      <c r="F42" s="1904"/>
    </row>
    <row r="43" spans="2:6" s="1905" customFormat="1">
      <c r="B43" s="1901" t="s">
        <v>1456</v>
      </c>
      <c r="C43" s="1902">
        <v>13500000</v>
      </c>
      <c r="D43" s="1903"/>
      <c r="E43" s="1904"/>
      <c r="F43" s="1904"/>
    </row>
    <row r="44" spans="2:6" s="1905" customFormat="1">
      <c r="B44" s="1901" t="s">
        <v>1457</v>
      </c>
      <c r="C44" s="1902">
        <v>300000000</v>
      </c>
      <c r="D44" s="1903"/>
      <c r="E44" s="1904"/>
      <c r="F44" s="1904"/>
    </row>
    <row r="45" spans="2:6" s="1905" customFormat="1">
      <c r="B45" s="1901" t="s">
        <v>1458</v>
      </c>
      <c r="C45" s="1902">
        <v>117250000</v>
      </c>
      <c r="D45" s="1903"/>
      <c r="E45" s="1904"/>
      <c r="F45" s="1904"/>
    </row>
    <row r="46" spans="2:6" s="1905" customFormat="1">
      <c r="B46" s="1901" t="s">
        <v>1459</v>
      </c>
      <c r="C46" s="1902">
        <v>31500000</v>
      </c>
      <c r="D46" s="1903"/>
      <c r="E46" s="1904"/>
      <c r="F46" s="1904"/>
    </row>
    <row r="47" spans="2:6" s="1905" customFormat="1">
      <c r="B47" s="1901" t="s">
        <v>1460</v>
      </c>
      <c r="C47" s="1902">
        <v>78000000</v>
      </c>
      <c r="D47" s="1903"/>
      <c r="E47" s="1904"/>
      <c r="F47" s="1904"/>
    </row>
    <row r="48" spans="2:6" s="1900" customFormat="1">
      <c r="B48" s="1896" t="s">
        <v>985</v>
      </c>
      <c r="C48" s="1906">
        <v>1500000</v>
      </c>
      <c r="D48" s="1898"/>
      <c r="E48" s="1899"/>
      <c r="F48" s="1899"/>
    </row>
    <row r="49" spans="2:6" s="1900" customFormat="1">
      <c r="B49" s="1896" t="s">
        <v>986</v>
      </c>
      <c r="C49" s="1906">
        <v>1</v>
      </c>
      <c r="D49" s="1898"/>
      <c r="E49" s="1899"/>
      <c r="F49" s="1899"/>
    </row>
    <row r="50" spans="2:6" s="1900" customFormat="1">
      <c r="B50" s="1896" t="s">
        <v>988</v>
      </c>
      <c r="C50" s="1906">
        <v>7000000</v>
      </c>
      <c r="D50" s="1898"/>
      <c r="E50" s="1899"/>
      <c r="F50" s="1899"/>
    </row>
    <row r="51" spans="2:6" s="1900" customFormat="1">
      <c r="B51" s="1896" t="s">
        <v>989</v>
      </c>
      <c r="C51" s="1906">
        <v>0</v>
      </c>
      <c r="D51" s="1898"/>
      <c r="E51" s="1899"/>
      <c r="F51" s="1899"/>
    </row>
    <row r="52" spans="2:6" s="1911" customFormat="1">
      <c r="B52" s="1907" t="s">
        <v>990</v>
      </c>
      <c r="C52" s="1908">
        <v>157500000</v>
      </c>
      <c r="D52" s="1909"/>
      <c r="E52" s="1910"/>
      <c r="F52" s="1910"/>
    </row>
    <row r="53" spans="2:6" s="1911" customFormat="1">
      <c r="B53" s="1907" t="s">
        <v>991</v>
      </c>
      <c r="C53" s="1908"/>
      <c r="D53" s="1909">
        <f>22500000+100000000</f>
        <v>122500000</v>
      </c>
      <c r="E53" s="1910"/>
      <c r="F53" s="1910"/>
    </row>
    <row r="54" spans="2:6" s="1916" customFormat="1">
      <c r="B54" s="1912" t="s">
        <v>1436</v>
      </c>
      <c r="C54" s="1913">
        <v>20000000</v>
      </c>
      <c r="D54" s="1914"/>
      <c r="E54" s="1915"/>
      <c r="F54" s="1915"/>
    </row>
    <row r="55" spans="2:6" s="1916" customFormat="1">
      <c r="B55" s="1912" t="s">
        <v>993</v>
      </c>
      <c r="C55" s="1913">
        <v>22000000</v>
      </c>
      <c r="D55" s="1914"/>
      <c r="E55" s="1915"/>
      <c r="F55" s="1915"/>
    </row>
    <row r="56" spans="2:6" s="1916" customFormat="1">
      <c r="B56" s="1912" t="s">
        <v>1437</v>
      </c>
      <c r="C56" s="1913">
        <v>30000000</v>
      </c>
      <c r="D56" s="1914"/>
      <c r="E56" s="1915"/>
      <c r="F56" s="1915"/>
    </row>
    <row r="57" spans="2:6" s="1916" customFormat="1">
      <c r="B57" s="1912" t="s">
        <v>994</v>
      </c>
      <c r="C57" s="1913">
        <v>240000000</v>
      </c>
      <c r="D57" s="1914"/>
      <c r="E57" s="1915"/>
      <c r="F57" s="1915"/>
    </row>
    <row r="58" spans="2:6">
      <c r="B58" s="1804" t="s">
        <v>1624</v>
      </c>
      <c r="C58" s="1846">
        <v>365463848</v>
      </c>
      <c r="D58" s="1844"/>
      <c r="E58" s="1845"/>
      <c r="F58" s="1845"/>
    </row>
    <row r="59" spans="2:6" s="1916" customFormat="1">
      <c r="B59" s="1912" t="s">
        <v>995</v>
      </c>
      <c r="C59" s="1913">
        <v>275000000</v>
      </c>
      <c r="D59" s="1914"/>
      <c r="E59" s="1915"/>
      <c r="F59" s="1915"/>
    </row>
    <row r="60" spans="2:6" s="1916" customFormat="1">
      <c r="B60" s="1912" t="s">
        <v>996</v>
      </c>
      <c r="C60" s="1913">
        <v>480000000</v>
      </c>
      <c r="D60" s="1914"/>
      <c r="E60" s="1915"/>
      <c r="F60" s="1915"/>
    </row>
    <row r="61" spans="2:6" s="1916" customFormat="1">
      <c r="B61" s="1912" t="s">
        <v>1621</v>
      </c>
      <c r="C61" s="1913">
        <v>183000000</v>
      </c>
      <c r="D61" s="1914"/>
      <c r="E61" s="1915"/>
      <c r="F61" s="1915"/>
    </row>
    <row r="62" spans="2:6" s="1916" customFormat="1">
      <c r="B62" s="1912" t="s">
        <v>997</v>
      </c>
      <c r="C62" s="1913"/>
      <c r="D62" s="1914">
        <v>77000000</v>
      </c>
      <c r="E62" s="1915"/>
      <c r="F62" s="1915"/>
    </row>
    <row r="63" spans="2:6" s="1916" customFormat="1">
      <c r="B63" s="1912" t="s">
        <v>1438</v>
      </c>
      <c r="C63" s="1913"/>
      <c r="D63" s="1914">
        <v>5000000</v>
      </c>
      <c r="E63" s="1915"/>
      <c r="F63" s="1915"/>
    </row>
    <row r="64" spans="2:6" s="1916" customFormat="1">
      <c r="B64" s="1912" t="s">
        <v>1439</v>
      </c>
      <c r="C64" s="1913"/>
      <c r="D64" s="1914">
        <v>20000000</v>
      </c>
      <c r="E64" s="1915"/>
      <c r="F64" s="1915"/>
    </row>
    <row r="65" spans="2:7" s="1916" customFormat="1">
      <c r="B65" s="1912" t="s">
        <v>998</v>
      </c>
      <c r="C65" s="1913"/>
      <c r="D65" s="1914">
        <v>9000000</v>
      </c>
      <c r="E65" s="1915"/>
      <c r="F65" s="1915"/>
    </row>
    <row r="66" spans="2:7" s="1916" customFormat="1">
      <c r="B66" s="1912" t="s">
        <v>999</v>
      </c>
      <c r="C66" s="1913"/>
      <c r="D66" s="1914">
        <v>16000000</v>
      </c>
      <c r="E66" s="1915"/>
      <c r="F66" s="1915"/>
    </row>
    <row r="67" spans="2:7">
      <c r="B67" s="1804" t="s">
        <v>1623</v>
      </c>
      <c r="C67" s="1846"/>
      <c r="D67" s="1844">
        <v>3767669</v>
      </c>
      <c r="E67" s="1845"/>
      <c r="F67" s="1845"/>
    </row>
    <row r="68" spans="2:7" ht="14.65" thickBot="1">
      <c r="B68" s="1805" t="s">
        <v>1000</v>
      </c>
      <c r="C68" s="1847"/>
      <c r="D68" s="1848"/>
      <c r="E68" s="1849"/>
      <c r="F68" s="1849"/>
    </row>
    <row r="69" spans="2:7" ht="14.65" thickBot="1">
      <c r="B69" s="1585"/>
      <c r="C69" s="1850"/>
      <c r="G69" s="1832"/>
    </row>
    <row r="70" spans="2:7" ht="14.65" thickBot="1">
      <c r="B70" s="2011" t="s">
        <v>917</v>
      </c>
      <c r="C70" s="2016" t="s">
        <v>17</v>
      </c>
      <c r="D70" s="2017"/>
      <c r="E70" s="2016" t="s">
        <v>445</v>
      </c>
      <c r="F70" s="2017"/>
    </row>
    <row r="71" spans="2:7" ht="14.65" thickBot="1">
      <c r="B71" s="2012"/>
      <c r="C71" s="1851" t="s">
        <v>294</v>
      </c>
      <c r="D71" s="1842" t="s">
        <v>295</v>
      </c>
      <c r="E71" s="1842" t="s">
        <v>918</v>
      </c>
      <c r="F71" s="1852" t="s">
        <v>919</v>
      </c>
    </row>
    <row r="72" spans="2:7" s="1916" customFormat="1">
      <c r="B72" s="1917" t="s">
        <v>937</v>
      </c>
      <c r="C72" s="1918"/>
      <c r="D72" s="1919">
        <v>420000000</v>
      </c>
      <c r="E72" s="1914"/>
      <c r="F72" s="1915"/>
    </row>
    <row r="73" spans="2:7" s="1916" customFormat="1">
      <c r="B73" s="1917" t="s">
        <v>939</v>
      </c>
      <c r="C73" s="1918"/>
      <c r="D73" s="1919">
        <v>40000000</v>
      </c>
      <c r="E73" s="1914"/>
      <c r="F73" s="1915"/>
    </row>
    <row r="74" spans="2:7" s="1916" customFormat="1">
      <c r="B74" s="1917" t="s">
        <v>941</v>
      </c>
      <c r="C74" s="1918"/>
      <c r="D74" s="1919">
        <v>120000000</v>
      </c>
      <c r="E74" s="1914"/>
      <c r="F74" s="1915"/>
    </row>
    <row r="75" spans="2:7" s="1916" customFormat="1">
      <c r="B75" s="1917" t="s">
        <v>943</v>
      </c>
      <c r="C75" s="1918"/>
      <c r="D75" s="1919">
        <v>548449857</v>
      </c>
      <c r="E75" s="1914"/>
      <c r="F75" s="1915"/>
    </row>
    <row r="76" spans="2:7" s="1916" customFormat="1">
      <c r="B76" s="1917" t="s">
        <v>945</v>
      </c>
      <c r="C76" s="1913">
        <v>189973221</v>
      </c>
      <c r="D76" s="1920"/>
      <c r="E76" s="1914"/>
      <c r="F76" s="1915"/>
    </row>
    <row r="77" spans="2:7" s="1869" customFormat="1">
      <c r="B77" s="1921" t="s">
        <v>949</v>
      </c>
      <c r="C77" s="1922"/>
      <c r="D77" s="1923">
        <v>150000000</v>
      </c>
      <c r="E77" s="1867"/>
      <c r="F77" s="1868"/>
    </row>
    <row r="78" spans="2:7" s="1869" customFormat="1">
      <c r="B78" s="1921" t="s">
        <v>950</v>
      </c>
      <c r="C78" s="1922"/>
      <c r="D78" s="1923">
        <v>300000000</v>
      </c>
      <c r="E78" s="1867"/>
      <c r="F78" s="1868"/>
    </row>
    <row r="79" spans="2:7" s="1869" customFormat="1">
      <c r="B79" s="1921" t="s">
        <v>1440</v>
      </c>
      <c r="C79" s="1922"/>
      <c r="D79" s="1923">
        <v>5600000</v>
      </c>
      <c r="E79" s="1867"/>
      <c r="F79" s="1868"/>
    </row>
    <row r="80" spans="2:7" s="1869" customFormat="1">
      <c r="B80" s="1921" t="s">
        <v>951</v>
      </c>
      <c r="C80" s="1922"/>
      <c r="D80" s="1923">
        <f>+'03.01 Arriendo Operativo'!H10+'03.02 Arriendo Operativo'!N6</f>
        <v>6324052</v>
      </c>
      <c r="E80" s="1867"/>
      <c r="F80" s="1868"/>
    </row>
    <row r="81" spans="2:6" s="1869" customFormat="1">
      <c r="B81" s="1921" t="s">
        <v>952</v>
      </c>
      <c r="C81" s="1922"/>
      <c r="D81" s="1923">
        <v>2000000</v>
      </c>
      <c r="E81" s="1867"/>
      <c r="F81" s="1868"/>
    </row>
    <row r="82" spans="2:6" s="1869" customFormat="1">
      <c r="B82" s="1921" t="s">
        <v>1441</v>
      </c>
      <c r="C82" s="1922"/>
      <c r="D82" s="1923">
        <f>+'13 PPM'!E15</f>
        <v>5000000</v>
      </c>
      <c r="E82" s="1867"/>
      <c r="F82" s="1868"/>
    </row>
    <row r="83" spans="2:6" s="1869" customFormat="1">
      <c r="B83" s="1921" t="s">
        <v>953</v>
      </c>
      <c r="C83" s="1922"/>
      <c r="D83" s="1923">
        <v>35000000</v>
      </c>
      <c r="E83" s="1867"/>
      <c r="F83" s="1868"/>
    </row>
    <row r="84" spans="2:6" s="1929" customFormat="1">
      <c r="B84" s="1924" t="s">
        <v>956</v>
      </c>
      <c r="C84" s="1925"/>
      <c r="D84" s="1926">
        <v>180000000</v>
      </c>
      <c r="E84" s="1927"/>
      <c r="F84" s="1928"/>
    </row>
    <row r="85" spans="2:6" s="1929" customFormat="1">
      <c r="B85" s="1924" t="s">
        <v>1442</v>
      </c>
      <c r="C85" s="1925"/>
      <c r="D85" s="1926">
        <v>679000000</v>
      </c>
      <c r="E85" s="1927"/>
      <c r="F85" s="1928"/>
    </row>
    <row r="86" spans="2:6" s="1929" customFormat="1">
      <c r="B86" s="1924" t="s">
        <v>959</v>
      </c>
      <c r="C86" s="1925"/>
      <c r="D86" s="1926">
        <v>10000000</v>
      </c>
      <c r="E86" s="1927"/>
      <c r="F86" s="1928"/>
    </row>
    <row r="87" spans="2:6" s="1929" customFormat="1">
      <c r="B87" s="1924" t="s">
        <v>961</v>
      </c>
      <c r="C87" s="1925"/>
      <c r="D87" s="1926">
        <v>120000000</v>
      </c>
      <c r="E87" s="1927"/>
      <c r="F87" s="1928"/>
    </row>
    <row r="88" spans="2:6" s="1869" customFormat="1">
      <c r="B88" s="1921" t="s">
        <v>963</v>
      </c>
      <c r="C88" s="1922"/>
      <c r="D88" s="1923">
        <v>180000000</v>
      </c>
      <c r="E88" s="1867"/>
      <c r="F88" s="1868"/>
    </row>
    <row r="89" spans="2:6" s="1875" customFormat="1">
      <c r="B89" s="1930" t="s">
        <v>978</v>
      </c>
      <c r="C89" s="1931"/>
      <c r="D89" s="1932">
        <v>150000000</v>
      </c>
      <c r="E89" s="1873"/>
      <c r="F89" s="1874"/>
    </row>
    <row r="90" spans="2:6" s="1938" customFormat="1">
      <c r="B90" s="1933" t="s">
        <v>976</v>
      </c>
      <c r="C90" s="1934"/>
      <c r="D90" s="1935"/>
      <c r="E90" s="1936"/>
      <c r="F90" s="1937"/>
    </row>
    <row r="91" spans="2:6" s="1944" customFormat="1">
      <c r="B91" s="1939" t="s">
        <v>1443</v>
      </c>
      <c r="C91" s="1940"/>
      <c r="D91" s="1941">
        <v>400000000</v>
      </c>
      <c r="E91" s="1942"/>
      <c r="F91" s="1943"/>
    </row>
    <row r="92" spans="2:6" s="1944" customFormat="1">
      <c r="B92" s="1939" t="s">
        <v>981</v>
      </c>
      <c r="C92" s="1940"/>
      <c r="D92" s="1941">
        <v>250000000</v>
      </c>
      <c r="E92" s="1942"/>
      <c r="F92" s="1943"/>
    </row>
    <row r="93" spans="2:6">
      <c r="B93" s="1586" t="s">
        <v>982</v>
      </c>
      <c r="C93" s="1853"/>
      <c r="D93" s="1854">
        <v>720000000</v>
      </c>
      <c r="E93" s="1844"/>
      <c r="F93" s="1845"/>
    </row>
    <row r="94" spans="2:6" s="1944" customFormat="1">
      <c r="B94" s="1939" t="s">
        <v>1001</v>
      </c>
      <c r="C94" s="1945"/>
      <c r="D94" s="1942"/>
      <c r="E94" s="1942"/>
      <c r="F94" s="1943">
        <v>1440725811</v>
      </c>
    </row>
    <row r="95" spans="2:6" s="1944" customFormat="1">
      <c r="B95" s="1939" t="s">
        <v>1002</v>
      </c>
      <c r="C95" s="1945"/>
      <c r="D95" s="1942"/>
      <c r="E95" s="1942">
        <v>20000000</v>
      </c>
      <c r="F95" s="1943"/>
    </row>
    <row r="96" spans="2:6" s="1950" customFormat="1">
      <c r="B96" s="1946" t="s">
        <v>1003</v>
      </c>
      <c r="C96" s="1947"/>
      <c r="D96" s="1948"/>
      <c r="E96" s="1948">
        <v>182662912</v>
      </c>
      <c r="F96" s="1949"/>
    </row>
    <row r="97" spans="2:6" s="1875" customFormat="1">
      <c r="B97" s="1930" t="s">
        <v>1009</v>
      </c>
      <c r="C97" s="1951"/>
      <c r="D97" s="1873"/>
      <c r="E97" s="1873">
        <v>320000000</v>
      </c>
      <c r="F97" s="1874"/>
    </row>
    <row r="98" spans="2:6" s="1875" customFormat="1">
      <c r="B98" s="1930" t="s">
        <v>1010</v>
      </c>
      <c r="C98" s="1951"/>
      <c r="D98" s="1873"/>
      <c r="E98" s="1873">
        <v>55000000</v>
      </c>
      <c r="F98" s="1874"/>
    </row>
    <row r="99" spans="2:6" s="1875" customFormat="1">
      <c r="B99" s="1930" t="s">
        <v>1444</v>
      </c>
      <c r="C99" s="1951"/>
      <c r="D99" s="1873"/>
      <c r="E99" s="1873">
        <v>12000000</v>
      </c>
      <c r="F99" s="1874"/>
    </row>
    <row r="100" spans="2:6" s="1875" customFormat="1">
      <c r="B100" s="1930" t="s">
        <v>1011</v>
      </c>
      <c r="C100" s="1951"/>
      <c r="D100" s="1873"/>
      <c r="E100" s="1873">
        <v>12000000</v>
      </c>
      <c r="F100" s="1874"/>
    </row>
    <row r="101" spans="2:6" s="1875" customFormat="1">
      <c r="B101" s="1930" t="s">
        <v>1012</v>
      </c>
      <c r="C101" s="1951"/>
      <c r="D101" s="1873"/>
      <c r="E101" s="1873">
        <v>5000000</v>
      </c>
      <c r="F101" s="1874"/>
    </row>
    <row r="102" spans="2:6" s="1875" customFormat="1">
      <c r="B102" s="1930" t="s">
        <v>1013</v>
      </c>
      <c r="C102" s="1951"/>
      <c r="D102" s="1873"/>
      <c r="E102" s="1873">
        <v>18000000</v>
      </c>
      <c r="F102" s="1874"/>
    </row>
    <row r="103" spans="2:6" s="1875" customFormat="1">
      <c r="B103" s="1930" t="s">
        <v>1004</v>
      </c>
      <c r="C103" s="1951"/>
      <c r="D103" s="1873"/>
      <c r="E103" s="1873">
        <v>30000000</v>
      </c>
      <c r="F103" s="1874"/>
    </row>
    <row r="104" spans="2:6" s="1956" customFormat="1">
      <c r="B104" s="1952" t="s">
        <v>1445</v>
      </c>
      <c r="C104" s="1953"/>
      <c r="D104" s="1954"/>
      <c r="E104" s="1954">
        <f>+'03.02 Arriendo Operativo'!N8+'03.01 Arriendo Operativo'!H12</f>
        <v>41995878</v>
      </c>
      <c r="F104" s="1955"/>
    </row>
    <row r="105" spans="2:6" s="1956" customFormat="1">
      <c r="B105" s="1952" t="s">
        <v>1005</v>
      </c>
      <c r="C105" s="1953"/>
      <c r="D105" s="1954"/>
      <c r="E105" s="1954">
        <v>3500000</v>
      </c>
      <c r="F105" s="1955"/>
    </row>
    <row r="106" spans="2:6" s="1956" customFormat="1">
      <c r="B106" s="1952" t="s">
        <v>1446</v>
      </c>
      <c r="C106" s="1953"/>
      <c r="D106" s="1954"/>
      <c r="E106" s="1954">
        <v>1350000</v>
      </c>
      <c r="F106" s="1955"/>
    </row>
    <row r="107" spans="2:6" s="1956" customFormat="1">
      <c r="B107" s="1952" t="s">
        <v>1006</v>
      </c>
      <c r="C107" s="1953"/>
      <c r="D107" s="1954"/>
      <c r="E107" s="1954">
        <v>2000000</v>
      </c>
      <c r="F107" s="1955"/>
    </row>
    <row r="108" spans="2:6" s="1956" customFormat="1">
      <c r="B108" s="1952" t="s">
        <v>1007</v>
      </c>
      <c r="C108" s="1953"/>
      <c r="D108" s="1954"/>
      <c r="E108" s="1954">
        <v>6000000</v>
      </c>
      <c r="F108" s="1955"/>
    </row>
    <row r="109" spans="2:6" s="1956" customFormat="1">
      <c r="B109" s="1952" t="s">
        <v>1008</v>
      </c>
      <c r="C109" s="1953"/>
      <c r="D109" s="1954"/>
      <c r="E109" s="1954">
        <v>2000000</v>
      </c>
      <c r="F109" s="1955"/>
    </row>
    <row r="110" spans="2:6" s="1950" customFormat="1">
      <c r="B110" s="1946" t="s">
        <v>1028</v>
      </c>
      <c r="C110" s="1947"/>
      <c r="D110" s="1948"/>
      <c r="E110" s="1948">
        <v>39021000</v>
      </c>
      <c r="F110" s="1949"/>
    </row>
    <row r="111" spans="2:6" s="1929" customFormat="1">
      <c r="B111" s="1924" t="s">
        <v>1622</v>
      </c>
      <c r="C111" s="1957"/>
      <c r="D111" s="1927"/>
      <c r="E111" s="1927">
        <v>3767669</v>
      </c>
      <c r="F111" s="1928"/>
    </row>
    <row r="112" spans="2:6" s="1929" customFormat="1">
      <c r="B112" s="1924" t="s">
        <v>1014</v>
      </c>
      <c r="C112" s="1957"/>
      <c r="D112" s="1927"/>
      <c r="E112" s="1927"/>
      <c r="F112" s="1928"/>
    </row>
    <row r="113" spans="2:6" s="1929" customFormat="1">
      <c r="B113" s="1924" t="s">
        <v>1015</v>
      </c>
      <c r="C113" s="1957"/>
      <c r="D113" s="1927"/>
      <c r="E113" s="1927"/>
      <c r="F113" s="1928"/>
    </row>
    <row r="114" spans="2:6" s="1929" customFormat="1">
      <c r="B114" s="1924" t="s">
        <v>1016</v>
      </c>
      <c r="C114" s="1957"/>
      <c r="D114" s="1927"/>
      <c r="E114" s="1927"/>
      <c r="F114" s="1928"/>
    </row>
    <row r="115" spans="2:6" s="1929" customFormat="1">
      <c r="B115" s="1924" t="s">
        <v>1017</v>
      </c>
      <c r="C115" s="1957"/>
      <c r="D115" s="1927"/>
      <c r="E115" s="1927"/>
      <c r="F115" s="1928"/>
    </row>
    <row r="116" spans="2:6" s="1962" customFormat="1">
      <c r="B116" s="1958" t="s">
        <v>1018</v>
      </c>
      <c r="C116" s="1959"/>
      <c r="D116" s="1960"/>
      <c r="E116" s="1960">
        <v>1200000</v>
      </c>
      <c r="F116" s="1961"/>
    </row>
    <row r="117" spans="2:6" s="1962" customFormat="1">
      <c r="B117" s="1958" t="s">
        <v>1019</v>
      </c>
      <c r="C117" s="1959"/>
      <c r="D117" s="1960"/>
      <c r="E117" s="1960">
        <v>5000000</v>
      </c>
      <c r="F117" s="1961"/>
    </row>
    <row r="118" spans="2:6" s="1962" customFormat="1">
      <c r="B118" s="1958" t="s">
        <v>1020</v>
      </c>
      <c r="C118" s="1959"/>
      <c r="D118" s="1960"/>
      <c r="E118" s="1960"/>
      <c r="F118" s="1961">
        <v>0</v>
      </c>
    </row>
    <row r="119" spans="2:6" s="1967" customFormat="1">
      <c r="B119" s="1963" t="s">
        <v>1023</v>
      </c>
      <c r="C119" s="1964"/>
      <c r="D119" s="1965"/>
      <c r="E119" s="1965"/>
      <c r="F119" s="1966">
        <v>3500000</v>
      </c>
    </row>
    <row r="120" spans="2:6" s="1967" customFormat="1">
      <c r="B120" s="1963" t="s">
        <v>1024</v>
      </c>
      <c r="C120" s="1964"/>
      <c r="D120" s="1965"/>
      <c r="E120" s="1965"/>
      <c r="F120" s="1966">
        <v>1500000</v>
      </c>
    </row>
    <row r="121" spans="2:6" s="1869" customFormat="1">
      <c r="B121" s="1921" t="s">
        <v>1635</v>
      </c>
      <c r="C121" s="1968"/>
      <c r="D121" s="1867"/>
      <c r="E121" s="1867"/>
      <c r="F121" s="1868">
        <v>143250000</v>
      </c>
    </row>
    <row r="122" spans="2:6" s="1875" customFormat="1">
      <c r="B122" s="1930" t="s">
        <v>1025</v>
      </c>
      <c r="C122" s="1951"/>
      <c r="D122" s="1873"/>
      <c r="E122" s="1873">
        <v>60000000</v>
      </c>
      <c r="F122" s="1874"/>
    </row>
    <row r="123" spans="2:6" s="1875" customFormat="1">
      <c r="B123" s="1930" t="s">
        <v>1026</v>
      </c>
      <c r="C123" s="1951"/>
      <c r="D123" s="1873"/>
      <c r="E123" s="1873">
        <v>3450587</v>
      </c>
      <c r="F123" s="1874"/>
    </row>
    <row r="124" spans="2:6" s="1875" customFormat="1">
      <c r="B124" s="1930" t="s">
        <v>1027</v>
      </c>
      <c r="C124" s="1951"/>
      <c r="D124" s="1873"/>
      <c r="E124" s="1873">
        <v>5600000</v>
      </c>
      <c r="F124" s="1874"/>
    </row>
    <row r="125" spans="2:6" s="1944" customFormat="1">
      <c r="B125" s="1939" t="s">
        <v>1447</v>
      </c>
      <c r="C125" s="1945"/>
      <c r="D125" s="1942"/>
      <c r="E125" s="1942"/>
      <c r="F125" s="1943">
        <v>4000000</v>
      </c>
    </row>
    <row r="126" spans="2:6" s="1911" customFormat="1">
      <c r="B126" s="1969" t="s">
        <v>1628</v>
      </c>
      <c r="C126" s="1970"/>
      <c r="D126" s="1909"/>
      <c r="E126" s="1909"/>
      <c r="F126" s="1910">
        <v>72056727</v>
      </c>
    </row>
    <row r="127" spans="2:6" s="1911" customFormat="1">
      <c r="B127" s="1969" t="s">
        <v>1630</v>
      </c>
      <c r="C127" s="1970"/>
      <c r="D127" s="1909"/>
      <c r="E127" s="1909">
        <v>31500000</v>
      </c>
      <c r="F127" s="1910"/>
    </row>
    <row r="128" spans="2:6" s="1911" customFormat="1">
      <c r="B128" s="1969" t="s">
        <v>1631</v>
      </c>
      <c r="C128" s="1970"/>
      <c r="D128" s="1909"/>
      <c r="E128" s="1909"/>
      <c r="F128" s="1910">
        <v>2629000</v>
      </c>
    </row>
    <row r="129" spans="2:6" s="1900" customFormat="1">
      <c r="B129" s="1971" t="s">
        <v>1625</v>
      </c>
      <c r="C129" s="1972"/>
      <c r="D129" s="1898"/>
      <c r="E129" s="1898"/>
      <c r="F129" s="1899">
        <v>235600000</v>
      </c>
    </row>
    <row r="130" spans="2:6" s="1900" customFormat="1">
      <c r="B130" s="1971" t="s">
        <v>1626</v>
      </c>
      <c r="C130" s="1972"/>
      <c r="D130" s="1898"/>
      <c r="E130" s="1898">
        <v>76000000</v>
      </c>
      <c r="F130" s="1899"/>
    </row>
    <row r="131" spans="2:6">
      <c r="B131" s="1586" t="s">
        <v>1021</v>
      </c>
      <c r="C131" s="1855"/>
      <c r="D131" s="1844"/>
      <c r="E131" s="1844">
        <v>20000000</v>
      </c>
      <c r="F131" s="1845"/>
    </row>
    <row r="132" spans="2:6" ht="14.65" thickBot="1">
      <c r="B132" s="1586" t="s">
        <v>1029</v>
      </c>
      <c r="C132" s="1855"/>
      <c r="D132" s="1844"/>
      <c r="E132" s="1844">
        <v>180000000</v>
      </c>
      <c r="F132" s="1845"/>
    </row>
    <row r="133" spans="2:6" ht="14.65" thickBot="1">
      <c r="B133" s="1587" t="s">
        <v>801</v>
      </c>
      <c r="C133" s="1856">
        <f>SUM(C7:C132)</f>
        <v>5399876070</v>
      </c>
      <c r="D133" s="1857">
        <f>SUM(D7:D132)</f>
        <v>4633662578</v>
      </c>
      <c r="E133" s="1857">
        <f>SUM(E7:E132)</f>
        <v>1137048046</v>
      </c>
      <c r="F133" s="1858">
        <f>SUM(F7:F132)</f>
        <v>1903261538</v>
      </c>
    </row>
    <row r="134" spans="2:6" ht="14.65" thickBot="1">
      <c r="B134" s="1803" t="s">
        <v>933</v>
      </c>
      <c r="C134" s="1859"/>
      <c r="D134" s="1860">
        <f>+C133-D133</f>
        <v>766213492</v>
      </c>
      <c r="E134" s="1860">
        <f>+F133-E133</f>
        <v>766213492</v>
      </c>
      <c r="F134" s="1861"/>
    </row>
    <row r="135" spans="2:6" ht="14.65" thickBot="1">
      <c r="B135" s="1588" t="s">
        <v>801</v>
      </c>
      <c r="C135" s="1862">
        <f>+C133+C134</f>
        <v>5399876070</v>
      </c>
      <c r="D135" s="1863">
        <f>+D133+D134</f>
        <v>5399876070</v>
      </c>
      <c r="E135" s="1863">
        <f>+E133+E134</f>
        <v>1903261538</v>
      </c>
      <c r="F135" s="1864">
        <f>+F133+F134</f>
        <v>1903261538</v>
      </c>
    </row>
    <row r="137" spans="2:6">
      <c r="E137" s="1840">
        <f>+D134-E134</f>
        <v>0</v>
      </c>
    </row>
  </sheetData>
  <mergeCells count="6">
    <mergeCell ref="B5:B6"/>
    <mergeCell ref="C5:D5"/>
    <mergeCell ref="E5:F5"/>
    <mergeCell ref="C70:D70"/>
    <mergeCell ref="E70:F70"/>
    <mergeCell ref="B70:B71"/>
  </mergeCells>
  <pageMargins left="0.70866141732283472" right="0.70866141732283472" top="0.74803149606299213" bottom="0.74803149606299213" header="0.31496062992125984" footer="0.31496062992125984"/>
  <pageSetup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4BFD-FC83-4F70-957B-6BD02A5C7E52}">
  <dimension ref="A1:B23"/>
  <sheetViews>
    <sheetView workbookViewId="0">
      <selection activeCell="B12" sqref="B12:B13"/>
    </sheetView>
  </sheetViews>
  <sheetFormatPr baseColWidth="10" defaultColWidth="10.86328125" defaultRowHeight="17.25"/>
  <cols>
    <col min="1" max="1" width="2.86328125" style="1722" bestFit="1" customWidth="1"/>
    <col min="2" max="2" width="144.1328125" style="1722" customWidth="1"/>
    <col min="3" max="16384" width="10.86328125" style="1722"/>
  </cols>
  <sheetData>
    <row r="1" spans="1:2">
      <c r="B1" s="2072" t="s">
        <v>1523</v>
      </c>
    </row>
    <row r="2" spans="1:2" ht="17.649999999999999" thickBot="1">
      <c r="B2" s="2073"/>
    </row>
    <row r="4" spans="1:2">
      <c r="A4" s="1723">
        <v>1</v>
      </c>
      <c r="B4" s="1724" t="s">
        <v>1524</v>
      </c>
    </row>
    <row r="5" spans="1:2">
      <c r="A5" s="1723">
        <v>2</v>
      </c>
      <c r="B5" s="1724" t="s">
        <v>1525</v>
      </c>
    </row>
    <row r="6" spans="1:2">
      <c r="A6" s="1723">
        <v>3</v>
      </c>
      <c r="B6" s="1724" t="s">
        <v>1526</v>
      </c>
    </row>
    <row r="7" spans="1:2">
      <c r="A7" s="1723">
        <v>4</v>
      </c>
      <c r="B7" s="1724" t="s">
        <v>1527</v>
      </c>
    </row>
    <row r="8" spans="1:2">
      <c r="A8" s="1723">
        <v>5</v>
      </c>
      <c r="B8" s="1724" t="s">
        <v>1528</v>
      </c>
    </row>
    <row r="9" spans="1:2">
      <c r="A9" s="1723">
        <v>6</v>
      </c>
      <c r="B9" s="1724" t="s">
        <v>1529</v>
      </c>
    </row>
    <row r="10" spans="1:2">
      <c r="A10" s="1723">
        <v>7</v>
      </c>
      <c r="B10" s="1724" t="s">
        <v>1530</v>
      </c>
    </row>
    <row r="11" spans="1:2" ht="17.649999999999999" thickBot="1"/>
    <row r="12" spans="1:2">
      <c r="B12" s="2072" t="s">
        <v>1531</v>
      </c>
    </row>
    <row r="13" spans="1:2" ht="17.649999999999999" thickBot="1">
      <c r="B13" s="2073"/>
    </row>
    <row r="14" spans="1:2" ht="17.649999999999999" thickBot="1"/>
    <row r="15" spans="1:2">
      <c r="B15" s="2074" t="s">
        <v>1532</v>
      </c>
    </row>
    <row r="16" spans="1:2">
      <c r="B16" s="2075"/>
    </row>
    <row r="17" spans="2:2" ht="17.649999999999999" thickBot="1">
      <c r="B17" s="2076"/>
    </row>
    <row r="18" spans="2:2" ht="17.649999999999999" thickBot="1"/>
    <row r="19" spans="2:2">
      <c r="B19" s="2074" t="s">
        <v>1533</v>
      </c>
    </row>
    <row r="20" spans="2:2">
      <c r="B20" s="2075"/>
    </row>
    <row r="21" spans="2:2">
      <c r="B21" s="2075"/>
    </row>
    <row r="22" spans="2:2">
      <c r="B22" s="2075"/>
    </row>
    <row r="23" spans="2:2" ht="17.649999999999999" thickBot="1">
      <c r="B23" s="2076"/>
    </row>
  </sheetData>
  <mergeCells count="4">
    <mergeCell ref="B1:B2"/>
    <mergeCell ref="B12:B13"/>
    <mergeCell ref="B15:B17"/>
    <mergeCell ref="B19:B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0FF3-1092-4FF0-9979-C91D2C208D60}">
  <dimension ref="B2:H32"/>
  <sheetViews>
    <sheetView zoomScale="130" zoomScaleNormal="130" workbookViewId="0">
      <selection activeCell="C8" sqref="C8"/>
    </sheetView>
  </sheetViews>
  <sheetFormatPr baseColWidth="10" defaultColWidth="10.86328125" defaultRowHeight="12.75"/>
  <cols>
    <col min="1" max="1" width="4.796875" style="656" customWidth="1"/>
    <col min="2" max="2" width="18.1328125" style="656" customWidth="1"/>
    <col min="3" max="3" width="19.6640625" style="656" customWidth="1"/>
    <col min="4" max="4" width="16.46484375" style="656" customWidth="1"/>
    <col min="5" max="5" width="13.46484375" style="656" customWidth="1"/>
    <col min="6" max="6" width="14.796875" style="656" customWidth="1"/>
    <col min="7" max="7" width="15.53125" style="656" customWidth="1"/>
    <col min="8" max="8" width="12.796875" style="656" customWidth="1"/>
    <col min="9" max="16384" width="10.86328125" style="656"/>
  </cols>
  <sheetData>
    <row r="2" spans="2:8">
      <c r="B2" s="2082" t="s">
        <v>1636</v>
      </c>
      <c r="C2" s="2082"/>
      <c r="D2" s="2082"/>
      <c r="E2" s="2082"/>
      <c r="F2" s="2082"/>
      <c r="G2" s="2082"/>
    </row>
    <row r="3" spans="2:8" ht="13.15" thickBot="1"/>
    <row r="4" spans="2:8" ht="13.15" thickBot="1">
      <c r="B4" s="2080" t="s">
        <v>1034</v>
      </c>
      <c r="C4" s="2077" t="s">
        <v>1035</v>
      </c>
      <c r="D4" s="2078"/>
      <c r="E4" s="2078"/>
      <c r="F4" s="2078"/>
      <c r="G4" s="2079"/>
    </row>
    <row r="5" spans="2:8" ht="13.15" thickBot="1">
      <c r="B5" s="2081"/>
      <c r="C5" s="698" t="s">
        <v>1346</v>
      </c>
      <c r="D5" s="698" t="s">
        <v>1647</v>
      </c>
      <c r="E5" s="698" t="s">
        <v>1646</v>
      </c>
      <c r="F5" s="698" t="s">
        <v>1638</v>
      </c>
      <c r="G5" s="698" t="s">
        <v>1645</v>
      </c>
    </row>
    <row r="6" spans="2:8" ht="13.15" thickBot="1">
      <c r="B6" s="699" t="s">
        <v>1037</v>
      </c>
      <c r="C6" s="700">
        <v>877.12</v>
      </c>
      <c r="D6" s="700">
        <v>961.29</v>
      </c>
      <c r="E6" s="700">
        <v>977.66</v>
      </c>
      <c r="F6" s="700">
        <v>996.46</v>
      </c>
      <c r="G6" s="700">
        <v>0</v>
      </c>
    </row>
    <row r="7" spans="2:8" ht="13.15" thickBot="1">
      <c r="B7" s="699" t="s">
        <v>1038</v>
      </c>
      <c r="C7" s="700">
        <v>1001.43</v>
      </c>
      <c r="D7" s="700">
        <v>1044.0899999999999</v>
      </c>
      <c r="E7" s="700">
        <v>1031.72</v>
      </c>
      <c r="F7" s="700">
        <v>1035.28</v>
      </c>
      <c r="G7" s="700">
        <v>0</v>
      </c>
    </row>
    <row r="8" spans="2:8" ht="13.15" thickBot="1"/>
    <row r="9" spans="2:8" ht="38.65" thickBot="1">
      <c r="B9" s="701" t="s">
        <v>1039</v>
      </c>
      <c r="C9" s="1421" t="s">
        <v>1649</v>
      </c>
      <c r="D9" s="1421" t="s">
        <v>1648</v>
      </c>
      <c r="E9" s="1421" t="s">
        <v>1039</v>
      </c>
      <c r="F9" s="1421" t="s">
        <v>1649</v>
      </c>
      <c r="G9" s="1421" t="s">
        <v>1648</v>
      </c>
    </row>
    <row r="10" spans="2:8" ht="13.15" thickBot="1">
      <c r="B10" s="702" t="s">
        <v>1647</v>
      </c>
      <c r="C10" s="700">
        <v>940</v>
      </c>
      <c r="D10" s="700">
        <v>905.32</v>
      </c>
      <c r="E10" s="703" t="s">
        <v>1651</v>
      </c>
      <c r="F10" s="700">
        <v>950.23</v>
      </c>
      <c r="G10" s="700">
        <v>934.54</v>
      </c>
    </row>
    <row r="11" spans="2:8" ht="13.15" thickBot="1">
      <c r="B11" s="702" t="s">
        <v>1650</v>
      </c>
      <c r="C11" s="700">
        <v>980.43</v>
      </c>
      <c r="D11" s="700">
        <v>943.23</v>
      </c>
      <c r="E11" s="703" t="s">
        <v>1652</v>
      </c>
      <c r="F11" s="700">
        <v>997.45</v>
      </c>
      <c r="G11" s="700">
        <v>921.56</v>
      </c>
    </row>
    <row r="12" spans="2:8" ht="13.15" thickBot="1">
      <c r="B12" s="702" t="s">
        <v>1638</v>
      </c>
      <c r="C12" s="700">
        <v>960.32</v>
      </c>
      <c r="D12" s="700">
        <v>965.32</v>
      </c>
      <c r="E12" s="703" t="s">
        <v>1653</v>
      </c>
      <c r="F12" s="700">
        <v>915.29</v>
      </c>
      <c r="G12" s="700">
        <v>893.87</v>
      </c>
    </row>
    <row r="13" spans="2:8" ht="13.15" thickBot="1">
      <c r="B13" s="702"/>
      <c r="C13" s="700"/>
      <c r="D13" s="700"/>
      <c r="E13" s="703" t="s">
        <v>1654</v>
      </c>
      <c r="F13" s="700">
        <v>878.29</v>
      </c>
      <c r="G13" s="700">
        <v>856.43</v>
      </c>
    </row>
    <row r="14" spans="2:8" ht="13.15" thickBot="1"/>
    <row r="15" spans="2:8" ht="13.15" thickBot="1">
      <c r="B15" s="2083" t="s">
        <v>1040</v>
      </c>
      <c r="C15" s="2077" t="s">
        <v>1035</v>
      </c>
      <c r="D15" s="2078"/>
      <c r="E15" s="2078"/>
      <c r="F15" s="2078"/>
      <c r="G15" s="2078"/>
      <c r="H15" s="2079"/>
    </row>
    <row r="16" spans="2:8" ht="13.15" thickBot="1">
      <c r="B16" s="2084"/>
      <c r="C16" s="698" t="s">
        <v>1036</v>
      </c>
      <c r="D16" s="698" t="s">
        <v>1041</v>
      </c>
      <c r="E16" s="698" t="s">
        <v>1318</v>
      </c>
      <c r="F16" s="698" t="s">
        <v>1041</v>
      </c>
      <c r="G16" s="698" t="s">
        <v>1318</v>
      </c>
      <c r="H16" s="698" t="s">
        <v>1347</v>
      </c>
    </row>
    <row r="17" spans="2:8" ht="13.15" thickBot="1">
      <c r="B17" s="704" t="s">
        <v>508</v>
      </c>
      <c r="C17" s="705">
        <v>0.08</v>
      </c>
      <c r="D17" s="705">
        <v>0.13</v>
      </c>
      <c r="E17" s="706">
        <v>0.18</v>
      </c>
      <c r="F17" s="705">
        <v>0.12</v>
      </c>
      <c r="G17" s="705">
        <v>0.09</v>
      </c>
      <c r="H17" s="705">
        <v>0.13</v>
      </c>
    </row>
    <row r="18" spans="2:8" ht="13.15" thickBot="1">
      <c r="B18" s="704" t="s">
        <v>1042</v>
      </c>
      <c r="C18" s="705">
        <v>7.0000000000000007E-2</v>
      </c>
      <c r="D18" s="705">
        <v>0.14000000000000001</v>
      </c>
      <c r="E18" s="706">
        <v>0.18</v>
      </c>
      <c r="F18" s="705">
        <v>0.14000000000000001</v>
      </c>
      <c r="G18" s="705">
        <v>0.08</v>
      </c>
      <c r="H18" s="705">
        <v>0.11</v>
      </c>
    </row>
    <row r="19" spans="2:8" ht="13.15" thickBot="1"/>
    <row r="20" spans="2:8" ht="13.15" thickBot="1">
      <c r="B20" s="1422"/>
      <c r="C20" s="2077" t="s">
        <v>1655</v>
      </c>
      <c r="D20" s="2078"/>
      <c r="E20" s="2079"/>
    </row>
    <row r="21" spans="2:8" ht="25.9" thickBot="1">
      <c r="B21" s="1423" t="s">
        <v>1043</v>
      </c>
      <c r="C21" s="698" t="s">
        <v>1044</v>
      </c>
      <c r="D21" s="698" t="s">
        <v>1045</v>
      </c>
      <c r="E21" s="698" t="s">
        <v>1046</v>
      </c>
    </row>
    <row r="22" spans="2:8" ht="13.15" thickBot="1">
      <c r="B22" s="702" t="s">
        <v>509</v>
      </c>
      <c r="C22" s="707">
        <v>4.3</v>
      </c>
      <c r="D22" s="707">
        <v>3</v>
      </c>
      <c r="E22" s="707">
        <v>7.3</v>
      </c>
    </row>
    <row r="23" spans="2:8" ht="13.15" thickBot="1"/>
    <row r="24" spans="2:8" ht="13.15" thickBot="1">
      <c r="B24" s="2080" t="s">
        <v>1034</v>
      </c>
      <c r="C24" s="2077" t="s">
        <v>1656</v>
      </c>
      <c r="D24" s="2078"/>
      <c r="E24" s="2078"/>
      <c r="F24" s="2078"/>
      <c r="G24" s="2079"/>
    </row>
    <row r="25" spans="2:8" ht="13.15" thickBot="1">
      <c r="B25" s="2081"/>
      <c r="C25" s="698" t="s">
        <v>1047</v>
      </c>
      <c r="D25" s="698" t="s">
        <v>1048</v>
      </c>
      <c r="E25" s="698" t="s">
        <v>1049</v>
      </c>
      <c r="F25" s="698" t="s">
        <v>1050</v>
      </c>
      <c r="G25" s="698" t="s">
        <v>1051</v>
      </c>
    </row>
    <row r="26" spans="2:8" ht="13.15" thickBot="1">
      <c r="B26" s="704" t="s">
        <v>134</v>
      </c>
      <c r="C26" s="708">
        <v>34876.559999999998</v>
      </c>
      <c r="D26" s="708">
        <v>35049.85</v>
      </c>
      <c r="E26" s="708">
        <v>36098.720000000001</v>
      </c>
      <c r="F26" s="708">
        <v>37205.47</v>
      </c>
      <c r="G26" s="708">
        <v>38240.519999999997</v>
      </c>
    </row>
    <row r="29" spans="2:8">
      <c r="B29" s="1444" t="s">
        <v>1052</v>
      </c>
      <c r="C29" s="1445" t="s">
        <v>1638</v>
      </c>
      <c r="D29" s="1445" t="s">
        <v>1346</v>
      </c>
      <c r="E29" s="1445" t="s">
        <v>1318</v>
      </c>
    </row>
    <row r="30" spans="2:8" ht="13.5">
      <c r="B30" s="1446" t="s">
        <v>669</v>
      </c>
      <c r="C30" s="1447">
        <v>14</v>
      </c>
      <c r="D30" s="1447">
        <v>15</v>
      </c>
      <c r="E30" s="1447">
        <v>15</v>
      </c>
    </row>
    <row r="31" spans="2:8" ht="13.5">
      <c r="B31" s="1446" t="s">
        <v>670</v>
      </c>
      <c r="C31" s="1447">
        <v>79</v>
      </c>
      <c r="D31" s="1447">
        <v>80</v>
      </c>
      <c r="E31" s="1447">
        <v>76</v>
      </c>
    </row>
    <row r="32" spans="2:8" ht="13.5">
      <c r="B32" s="1446" t="s">
        <v>156</v>
      </c>
      <c r="C32" s="1447">
        <v>65</v>
      </c>
      <c r="D32" s="1447">
        <v>30</v>
      </c>
      <c r="E32" s="1447">
        <v>45</v>
      </c>
    </row>
  </sheetData>
  <mergeCells count="8">
    <mergeCell ref="C20:E20"/>
    <mergeCell ref="B24:B25"/>
    <mergeCell ref="C24:G24"/>
    <mergeCell ref="B2:G2"/>
    <mergeCell ref="B4:B5"/>
    <mergeCell ref="C4:G4"/>
    <mergeCell ref="B15:B16"/>
    <mergeCell ref="C15:H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13BA-7FFE-4D58-9CC2-3CA36B92963F}">
  <dimension ref="A1:G74"/>
  <sheetViews>
    <sheetView zoomScale="130" zoomScaleNormal="130" workbookViewId="0">
      <selection activeCell="D20" sqref="D20"/>
    </sheetView>
  </sheetViews>
  <sheetFormatPr baseColWidth="10" defaultColWidth="10.86328125" defaultRowHeight="13.5"/>
  <cols>
    <col min="1" max="1" width="10.6640625" style="735" bestFit="1" customWidth="1"/>
    <col min="2" max="2" width="47" style="735" bestFit="1" customWidth="1"/>
    <col min="3" max="3" width="3.796875" style="735" customWidth="1"/>
    <col min="4" max="4" width="22.86328125" style="735" customWidth="1"/>
    <col min="5" max="5" width="20.86328125" style="735" bestFit="1" customWidth="1"/>
    <col min="6" max="6" width="18.796875" style="735" customWidth="1"/>
    <col min="7" max="7" width="18.33203125" style="735" bestFit="1" customWidth="1"/>
    <col min="8" max="16384" width="10.86328125" style="735"/>
  </cols>
  <sheetData>
    <row r="1" spans="1:7" ht="13.9" thickBot="1"/>
    <row r="2" spans="1:7" ht="13.9" thickBot="1">
      <c r="B2" s="2148" t="s">
        <v>1060</v>
      </c>
      <c r="C2" s="2149"/>
      <c r="D2" s="2149"/>
      <c r="E2" s="2149"/>
      <c r="F2" s="2149"/>
      <c r="G2" s="2150"/>
    </row>
    <row r="3" spans="1:7" ht="13.9" thickBot="1"/>
    <row r="4" spans="1:7" ht="13.9" thickBot="1">
      <c r="E4" s="751" t="s">
        <v>1061</v>
      </c>
    </row>
    <row r="5" spans="1:7" ht="13.9" thickBot="1">
      <c r="B5" s="2151" t="s">
        <v>1062</v>
      </c>
      <c r="C5" s="2152"/>
      <c r="D5" s="2152"/>
      <c r="E5" s="737"/>
    </row>
    <row r="6" spans="1:7" ht="6" customHeight="1">
      <c r="B6" s="738"/>
      <c r="C6" s="738"/>
      <c r="D6" s="738"/>
    </row>
    <row r="7" spans="1:7">
      <c r="B7" s="739" t="s">
        <v>131</v>
      </c>
      <c r="C7" s="740"/>
      <c r="D7" s="739" t="s">
        <v>1063</v>
      </c>
      <c r="E7" s="741" t="s">
        <v>1671</v>
      </c>
      <c r="F7" s="742" t="s">
        <v>109</v>
      </c>
    </row>
    <row r="8" spans="1:7">
      <c r="B8" s="743" t="s">
        <v>1038</v>
      </c>
      <c r="C8" s="744"/>
      <c r="D8" s="745">
        <v>45000</v>
      </c>
      <c r="E8" s="746"/>
      <c r="F8" s="747"/>
    </row>
    <row r="9" spans="1:7">
      <c r="B9" s="743" t="s">
        <v>1037</v>
      </c>
      <c r="C9" s="744"/>
      <c r="D9" s="745">
        <v>55000</v>
      </c>
      <c r="E9" s="748"/>
      <c r="F9" s="747"/>
    </row>
    <row r="10" spans="1:7">
      <c r="D10" s="2143" t="s">
        <v>109</v>
      </c>
      <c r="E10" s="2144"/>
      <c r="F10" s="749">
        <f>SUM(F8:F9)</f>
        <v>0</v>
      </c>
    </row>
    <row r="11" spans="1:7" ht="13.9" thickBot="1"/>
    <row r="12" spans="1:7" ht="13.9" thickBot="1">
      <c r="B12" s="750" t="s">
        <v>1052</v>
      </c>
      <c r="D12" s="751" t="s">
        <v>1473</v>
      </c>
      <c r="E12" s="752" t="s">
        <v>1472</v>
      </c>
      <c r="F12" s="753" t="s">
        <v>935</v>
      </c>
    </row>
    <row r="13" spans="1:7" ht="13.9" thickBot="1">
      <c r="B13" s="735" t="s">
        <v>938</v>
      </c>
      <c r="D13" s="754"/>
      <c r="E13" s="755"/>
      <c r="F13" s="756"/>
    </row>
    <row r="14" spans="1:7" ht="13.9" thickBot="1"/>
    <row r="15" spans="1:7" ht="13.9" thickBot="1">
      <c r="A15" s="736" t="s">
        <v>1055</v>
      </c>
      <c r="B15" s="2145" t="s">
        <v>1052</v>
      </c>
      <c r="C15" s="2146"/>
      <c r="D15" s="2147"/>
      <c r="E15" s="736" t="s">
        <v>1056</v>
      </c>
      <c r="F15" s="736" t="s">
        <v>1057</v>
      </c>
    </row>
    <row r="16" spans="1:7">
      <c r="A16" s="757"/>
      <c r="B16" s="758" t="s">
        <v>1058</v>
      </c>
      <c r="C16" s="759"/>
      <c r="D16" s="760" t="s">
        <v>1058</v>
      </c>
      <c r="E16" s="757"/>
      <c r="F16" s="757"/>
    </row>
    <row r="17" spans="1:6">
      <c r="A17" s="757"/>
      <c r="B17" s="761"/>
      <c r="D17" s="762"/>
      <c r="E17" s="1048"/>
      <c r="F17" s="757"/>
    </row>
    <row r="18" spans="1:6">
      <c r="A18" s="757"/>
      <c r="B18" s="761"/>
      <c r="D18" s="762"/>
      <c r="E18" s="757"/>
      <c r="F18" s="1048"/>
    </row>
    <row r="19" spans="1:6">
      <c r="A19" s="757"/>
      <c r="B19" s="761"/>
      <c r="D19" s="762"/>
      <c r="E19" s="757"/>
      <c r="F19" s="757"/>
    </row>
    <row r="20" spans="1:6" ht="13.9" thickBot="1">
      <c r="A20" s="763"/>
      <c r="B20" s="764"/>
      <c r="C20" s="765"/>
      <c r="D20" s="766"/>
      <c r="E20" s="763"/>
      <c r="F20" s="763"/>
    </row>
    <row r="22" spans="1:6" ht="13.9" thickBot="1"/>
    <row r="23" spans="1:6" ht="13.9" thickBot="1">
      <c r="E23" s="736" t="s">
        <v>1061</v>
      </c>
    </row>
    <row r="24" spans="1:6" ht="15.5" customHeight="1" thickBot="1">
      <c r="B24" s="2153" t="s">
        <v>1064</v>
      </c>
      <c r="C24" s="2153"/>
      <c r="D24" s="2154"/>
      <c r="E24" s="767"/>
    </row>
    <row r="25" spans="1:6" ht="7.5" customHeight="1">
      <c r="B25" s="768"/>
      <c r="C25" s="768"/>
      <c r="D25" s="768"/>
      <c r="E25" s="769"/>
    </row>
    <row r="26" spans="1:6">
      <c r="B26" s="739" t="s">
        <v>131</v>
      </c>
      <c r="C26" s="770"/>
      <c r="D26" s="739" t="s">
        <v>1063</v>
      </c>
      <c r="E26" s="741" t="s">
        <v>1671</v>
      </c>
      <c r="F26" s="742" t="s">
        <v>109</v>
      </c>
    </row>
    <row r="27" spans="1:6">
      <c r="B27" s="743" t="s">
        <v>1038</v>
      </c>
      <c r="C27" s="771"/>
      <c r="D27" s="745">
        <v>30000</v>
      </c>
      <c r="E27" s="772"/>
      <c r="F27" s="747"/>
    </row>
    <row r="28" spans="1:6">
      <c r="D28" s="2143" t="s">
        <v>109</v>
      </c>
      <c r="E28" s="2144"/>
      <c r="F28" s="749">
        <f>SUM(F27)</f>
        <v>0</v>
      </c>
    </row>
    <row r="29" spans="1:6" ht="13.9" thickBot="1"/>
    <row r="30" spans="1:6" ht="13.9" thickBot="1">
      <c r="B30" s="750" t="s">
        <v>1052</v>
      </c>
      <c r="D30" s="751" t="s">
        <v>1473</v>
      </c>
      <c r="E30" s="752" t="s">
        <v>1472</v>
      </c>
      <c r="F30" s="753" t="s">
        <v>935</v>
      </c>
    </row>
    <row r="31" spans="1:6" ht="13.9" thickBot="1">
      <c r="B31" s="735" t="s">
        <v>944</v>
      </c>
      <c r="D31" s="754"/>
      <c r="E31" s="755"/>
      <c r="F31" s="756"/>
    </row>
    <row r="32" spans="1:6" ht="13.9" thickBot="1"/>
    <row r="33" spans="1:7" ht="13.9" thickBot="1">
      <c r="A33" s="736" t="s">
        <v>1055</v>
      </c>
      <c r="B33" s="2145" t="s">
        <v>1052</v>
      </c>
      <c r="C33" s="2146"/>
      <c r="D33" s="2147"/>
      <c r="E33" s="736" t="s">
        <v>1056</v>
      </c>
      <c r="F33" s="736" t="s">
        <v>1057</v>
      </c>
    </row>
    <row r="34" spans="1:7">
      <c r="A34" s="757"/>
      <c r="B34" s="758" t="s">
        <v>1058</v>
      </c>
      <c r="C34" s="759"/>
      <c r="D34" s="760" t="s">
        <v>1058</v>
      </c>
      <c r="E34" s="757"/>
      <c r="F34" s="757"/>
    </row>
    <row r="35" spans="1:7">
      <c r="A35" s="757"/>
      <c r="B35" s="761"/>
      <c r="D35" s="762"/>
      <c r="E35" s="1048"/>
      <c r="F35" s="757"/>
    </row>
    <row r="36" spans="1:7">
      <c r="A36" s="757"/>
      <c r="B36" s="761"/>
      <c r="D36" s="762"/>
      <c r="E36" s="757"/>
      <c r="F36" s="1048"/>
    </row>
    <row r="37" spans="1:7">
      <c r="A37" s="757"/>
      <c r="B37" s="761"/>
      <c r="D37" s="762"/>
      <c r="E37" s="757"/>
      <c r="F37" s="757"/>
    </row>
    <row r="38" spans="1:7" ht="13.9" thickBot="1">
      <c r="A38" s="763"/>
      <c r="B38" s="764"/>
      <c r="C38" s="765"/>
      <c r="D38" s="766"/>
      <c r="E38" s="763"/>
      <c r="F38" s="763"/>
    </row>
    <row r="40" spans="1:7" ht="13.9" thickBot="1"/>
    <row r="41" spans="1:7" ht="13.9" thickBot="1">
      <c r="B41" s="735" t="s">
        <v>948</v>
      </c>
      <c r="E41" s="736" t="s">
        <v>1061</v>
      </c>
    </row>
    <row r="42" spans="1:7" ht="13.9" thickBot="1">
      <c r="B42" s="773" t="s">
        <v>1065</v>
      </c>
      <c r="C42" s="773"/>
      <c r="E42" s="737"/>
    </row>
    <row r="43" spans="1:7" ht="6.5" customHeight="1">
      <c r="B43" s="774"/>
      <c r="C43" s="774"/>
      <c r="D43" s="211"/>
      <c r="E43" s="211"/>
      <c r="F43" s="211"/>
      <c r="G43" s="211"/>
    </row>
    <row r="44" spans="1:7">
      <c r="B44" s="775" t="s">
        <v>1066</v>
      </c>
      <c r="C44" s="776"/>
      <c r="D44" s="777" t="s">
        <v>1061</v>
      </c>
      <c r="E44" s="777" t="s">
        <v>1067</v>
      </c>
      <c r="F44" s="777" t="s">
        <v>111</v>
      </c>
      <c r="G44" s="777" t="s">
        <v>1068</v>
      </c>
    </row>
    <row r="45" spans="1:7">
      <c r="B45" s="778" t="s">
        <v>1069</v>
      </c>
      <c r="C45" s="779"/>
      <c r="D45" s="780">
        <v>70000000</v>
      </c>
      <c r="E45" s="781" t="s">
        <v>1672</v>
      </c>
      <c r="F45" s="781" t="s">
        <v>1675</v>
      </c>
      <c r="G45" s="782">
        <v>0.08</v>
      </c>
    </row>
    <row r="46" spans="1:7">
      <c r="B46" s="778" t="s">
        <v>1070</v>
      </c>
      <c r="C46" s="779"/>
      <c r="D46" s="780">
        <v>50000000</v>
      </c>
      <c r="E46" s="781" t="s">
        <v>1673</v>
      </c>
      <c r="F46" s="781" t="s">
        <v>1674</v>
      </c>
      <c r="G46" s="782">
        <v>0.12</v>
      </c>
    </row>
    <row r="47" spans="1:7">
      <c r="B47" s="783" t="s">
        <v>109</v>
      </c>
      <c r="C47" s="773"/>
      <c r="D47" s="784">
        <f>+D45+D46</f>
        <v>120000000</v>
      </c>
      <c r="E47" s="785"/>
      <c r="F47" s="785"/>
      <c r="G47" s="785"/>
    </row>
    <row r="48" spans="1:7" ht="13.9" thickBot="1"/>
    <row r="49" spans="2:7" ht="13.9" thickBot="1">
      <c r="B49" s="1049" t="s">
        <v>1071</v>
      </c>
      <c r="C49" s="1050" t="s">
        <v>1072</v>
      </c>
      <c r="D49" s="1051" t="s">
        <v>1073</v>
      </c>
    </row>
    <row r="50" spans="2:7" ht="12" customHeight="1">
      <c r="E50" s="759" t="s">
        <v>509</v>
      </c>
    </row>
    <row r="51" spans="2:7">
      <c r="B51" s="735" t="s">
        <v>1677</v>
      </c>
      <c r="C51" s="735" t="s">
        <v>1072</v>
      </c>
      <c r="D51" s="759"/>
      <c r="E51" s="1218"/>
      <c r="F51" s="786" t="s">
        <v>1074</v>
      </c>
    </row>
    <row r="52" spans="2:7">
      <c r="B52" s="735" t="s">
        <v>1678</v>
      </c>
      <c r="C52" s="735" t="s">
        <v>1072</v>
      </c>
      <c r="D52" s="759"/>
      <c r="E52" s="1218"/>
    </row>
    <row r="54" spans="2:7">
      <c r="B54" s="775" t="s">
        <v>1066</v>
      </c>
      <c r="C54" s="776"/>
      <c r="D54" s="777" t="s">
        <v>1061</v>
      </c>
      <c r="E54" s="777" t="s">
        <v>1075</v>
      </c>
      <c r="F54" s="777" t="s">
        <v>1076</v>
      </c>
      <c r="G54" s="777" t="s">
        <v>1077</v>
      </c>
    </row>
    <row r="55" spans="2:7">
      <c r="B55" s="778" t="s">
        <v>1069</v>
      </c>
      <c r="C55" s="779"/>
      <c r="D55" s="780">
        <f>+D45</f>
        <v>70000000</v>
      </c>
      <c r="E55" s="781"/>
      <c r="F55" s="1052"/>
      <c r="G55" s="1052"/>
    </row>
    <row r="56" spans="2:7" ht="13.9" thickBot="1">
      <c r="B56" s="778" t="s">
        <v>1070</v>
      </c>
      <c r="C56" s="779"/>
      <c r="D56" s="787">
        <f>+D46</f>
        <v>50000000</v>
      </c>
      <c r="E56" s="781"/>
      <c r="F56" s="1052"/>
      <c r="G56" s="1052"/>
    </row>
    <row r="57" spans="2:7" ht="13.9" thickBot="1">
      <c r="B57" s="783" t="s">
        <v>109</v>
      </c>
      <c r="C57" s="773"/>
      <c r="D57" s="788">
        <f>+D55+D56</f>
        <v>120000000</v>
      </c>
      <c r="E57" s="785"/>
      <c r="F57" s="785"/>
      <c r="G57" s="785"/>
    </row>
    <row r="59" spans="2:7">
      <c r="G59" s="786" t="s">
        <v>1078</v>
      </c>
    </row>
    <row r="60" spans="2:7">
      <c r="E60" s="786" t="s">
        <v>1079</v>
      </c>
    </row>
    <row r="61" spans="2:7">
      <c r="E61" s="781" t="str">
        <f>+E45</f>
        <v>18.12.2024</v>
      </c>
      <c r="F61" s="781" t="s">
        <v>1676</v>
      </c>
    </row>
    <row r="62" spans="2:7">
      <c r="E62" s="781" t="str">
        <f>+E46</f>
        <v>05.12.2024</v>
      </c>
      <c r="F62" s="781" t="s">
        <v>1676</v>
      </c>
    </row>
    <row r="63" spans="2:7" ht="13.9" thickBot="1"/>
    <row r="64" spans="2:7" ht="13.9" thickBot="1">
      <c r="B64" s="750" t="s">
        <v>1052</v>
      </c>
      <c r="D64" s="751" t="s">
        <v>1473</v>
      </c>
      <c r="E64" s="752" t="s">
        <v>1472</v>
      </c>
      <c r="F64" s="753" t="s">
        <v>935</v>
      </c>
    </row>
    <row r="65" spans="1:6" ht="13.9" thickBot="1">
      <c r="B65" s="789" t="str">
        <f>+B55</f>
        <v>Banco BCI 30 días</v>
      </c>
      <c r="D65" s="790"/>
      <c r="E65" s="1053"/>
      <c r="F65" s="1054"/>
    </row>
    <row r="66" spans="1:6" ht="13.9" thickBot="1">
      <c r="B66" s="735" t="str">
        <f>+B56</f>
        <v>Banco Santander 30 días</v>
      </c>
      <c r="D66" s="791"/>
      <c r="E66" s="755"/>
      <c r="F66" s="756"/>
    </row>
    <row r="67" spans="1:6">
      <c r="B67" s="759" t="s">
        <v>1080</v>
      </c>
      <c r="D67" s="792"/>
      <c r="E67" s="793"/>
      <c r="F67" s="794"/>
    </row>
    <row r="68" spans="1:6" ht="13.9" thickBot="1"/>
    <row r="69" spans="1:6" ht="13.9" thickBot="1">
      <c r="A69" s="736" t="s">
        <v>1055</v>
      </c>
      <c r="B69" s="2145" t="s">
        <v>1052</v>
      </c>
      <c r="C69" s="2146"/>
      <c r="D69" s="2147"/>
      <c r="E69" s="736" t="s">
        <v>1056</v>
      </c>
      <c r="F69" s="736" t="s">
        <v>1057</v>
      </c>
    </row>
    <row r="70" spans="1:6">
      <c r="A70" s="757"/>
      <c r="B70" s="758" t="s">
        <v>1058</v>
      </c>
      <c r="C70" s="759"/>
      <c r="D70" s="760" t="s">
        <v>1058</v>
      </c>
      <c r="E70" s="757"/>
      <c r="F70" s="757"/>
    </row>
    <row r="71" spans="1:6">
      <c r="A71" s="757"/>
      <c r="B71" s="761"/>
      <c r="D71" s="762"/>
      <c r="E71" s="1048"/>
      <c r="F71" s="757"/>
    </row>
    <row r="72" spans="1:6">
      <c r="A72" s="757"/>
      <c r="B72" s="761"/>
      <c r="D72" s="762"/>
      <c r="E72" s="757"/>
      <c r="F72" s="1048"/>
    </row>
    <row r="73" spans="1:6">
      <c r="A73" s="757"/>
      <c r="B73" s="761"/>
      <c r="D73" s="762"/>
      <c r="E73" s="757"/>
      <c r="F73" s="757"/>
    </row>
    <row r="74" spans="1:6" ht="13.9" thickBot="1">
      <c r="A74" s="763"/>
      <c r="B74" s="764"/>
      <c r="C74" s="765"/>
      <c r="D74" s="766"/>
      <c r="E74" s="763"/>
      <c r="F74" s="763"/>
    </row>
  </sheetData>
  <mergeCells count="8">
    <mergeCell ref="D28:E28"/>
    <mergeCell ref="B33:D33"/>
    <mergeCell ref="B69:D69"/>
    <mergeCell ref="B2:G2"/>
    <mergeCell ref="B5:D5"/>
    <mergeCell ref="D10:E10"/>
    <mergeCell ref="B15:D15"/>
    <mergeCell ref="B24:D2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F03D-253E-4F61-88B0-F4B86F7E2E5F}">
  <dimension ref="A1:U101"/>
  <sheetViews>
    <sheetView topLeftCell="A3" zoomScale="120" zoomScaleNormal="120" workbookViewId="0">
      <selection activeCell="A8" sqref="A8:G8"/>
    </sheetView>
  </sheetViews>
  <sheetFormatPr baseColWidth="10" defaultColWidth="10.86328125" defaultRowHeight="16.5"/>
  <cols>
    <col min="1" max="1" width="13.6640625" style="709" customWidth="1"/>
    <col min="2" max="2" width="10.86328125" style="709"/>
    <col min="3" max="3" width="14.33203125" style="709" bestFit="1" customWidth="1"/>
    <col min="4" max="4" width="2.53125" style="709" bestFit="1" customWidth="1"/>
    <col min="5" max="5" width="13.19921875" style="709" bestFit="1" customWidth="1"/>
    <col min="6" max="6" width="4.19921875" style="709" customWidth="1"/>
    <col min="7" max="7" width="17.796875" style="709" bestFit="1" customWidth="1"/>
    <col min="8" max="8" width="4.19921875" style="709" customWidth="1"/>
    <col min="9" max="9" width="20.796875" style="709" bestFit="1" customWidth="1"/>
    <col min="10" max="10" width="18.33203125" style="709" customWidth="1"/>
    <col min="11" max="11" width="18.33203125" style="710" customWidth="1"/>
    <col min="12" max="13" width="18.33203125" style="709" customWidth="1"/>
    <col min="14" max="14" width="2.19921875" style="709" customWidth="1"/>
    <col min="15" max="17" width="10.86328125" style="709"/>
    <col min="18" max="18" width="14.46484375" style="709" customWidth="1"/>
    <col min="19" max="19" width="13.1328125" style="709" bestFit="1" customWidth="1"/>
    <col min="20" max="16384" width="10.86328125" style="709"/>
  </cols>
  <sheetData>
    <row r="1" spans="1:21" ht="16.899999999999999" thickBot="1"/>
    <row r="2" spans="1:21" ht="16.5" customHeight="1">
      <c r="A2" s="2156" t="s">
        <v>1679</v>
      </c>
      <c r="B2" s="2157"/>
      <c r="C2" s="2157"/>
      <c r="D2" s="2157"/>
      <c r="E2" s="2157"/>
      <c r="F2" s="2157"/>
      <c r="G2" s="2157"/>
      <c r="H2" s="2158"/>
      <c r="I2" s="1429" t="s">
        <v>1039</v>
      </c>
      <c r="J2" s="1429" t="s">
        <v>134</v>
      </c>
      <c r="K2" s="1168"/>
      <c r="L2" s="1169"/>
      <c r="M2" s="1169"/>
      <c r="O2" s="818" t="s">
        <v>1102</v>
      </c>
      <c r="P2" s="818" t="s">
        <v>1103</v>
      </c>
      <c r="Q2" s="818" t="s">
        <v>1104</v>
      </c>
      <c r="R2" s="818" t="s">
        <v>1105</v>
      </c>
      <c r="S2" s="818" t="s">
        <v>1106</v>
      </c>
    </row>
    <row r="3" spans="1:21" ht="16.899999999999999" thickBot="1">
      <c r="A3" s="2159"/>
      <c r="B3" s="2160"/>
      <c r="C3" s="2160"/>
      <c r="D3" s="2160"/>
      <c r="E3" s="2160"/>
      <c r="F3" s="2160"/>
      <c r="G3" s="2160"/>
      <c r="H3" s="2161"/>
      <c r="I3" s="819" t="s">
        <v>1047</v>
      </c>
      <c r="J3" s="820">
        <v>37754.47</v>
      </c>
      <c r="K3" s="1075"/>
      <c r="L3" s="1072"/>
      <c r="M3" s="1072"/>
      <c r="O3" s="821">
        <v>0</v>
      </c>
      <c r="P3" s="822"/>
      <c r="Q3" s="822"/>
      <c r="R3" s="822"/>
      <c r="S3" s="823"/>
      <c r="T3" s="709" t="s">
        <v>1047</v>
      </c>
    </row>
    <row r="4" spans="1:21">
      <c r="I4" s="819" t="s">
        <v>1048</v>
      </c>
      <c r="J4" s="820">
        <v>37910.42</v>
      </c>
      <c r="K4" s="1075"/>
      <c r="L4" s="1072"/>
      <c r="M4" s="1072"/>
      <c r="O4" s="821">
        <v>1</v>
      </c>
      <c r="P4" s="824"/>
      <c r="Q4" s="824"/>
      <c r="R4" s="824"/>
      <c r="S4" s="824"/>
      <c r="T4" s="709" t="s">
        <v>1048</v>
      </c>
    </row>
    <row r="5" spans="1:21">
      <c r="A5" s="2162" t="s">
        <v>1107</v>
      </c>
      <c r="B5" s="2162"/>
      <c r="C5" s="2162"/>
      <c r="D5" s="2162"/>
      <c r="E5" s="2162"/>
      <c r="F5" s="2162"/>
      <c r="G5" s="2162"/>
      <c r="I5" s="819" t="s">
        <v>1049</v>
      </c>
      <c r="J5" s="820">
        <v>37971.42</v>
      </c>
      <c r="K5" s="1075"/>
      <c r="L5" s="1072"/>
      <c r="M5" s="1072"/>
      <c r="O5" s="821">
        <v>2</v>
      </c>
      <c r="P5" s="824"/>
      <c r="Q5" s="824"/>
      <c r="R5" s="824"/>
      <c r="S5" s="824"/>
      <c r="T5" s="709" t="s">
        <v>1049</v>
      </c>
    </row>
    <row r="6" spans="1:21">
      <c r="A6" s="2155" t="s">
        <v>1108</v>
      </c>
      <c r="B6" s="2155"/>
      <c r="C6" s="2155"/>
      <c r="D6" s="2155"/>
      <c r="E6" s="2155"/>
      <c r="F6" s="2155"/>
      <c r="G6" s="2155"/>
      <c r="I6" s="819" t="s">
        <v>1050</v>
      </c>
      <c r="J6" s="820">
        <v>38247.919999999998</v>
      </c>
      <c r="K6" s="806"/>
      <c r="L6" s="1073"/>
      <c r="M6" s="1073"/>
      <c r="O6" s="821">
        <v>3</v>
      </c>
      <c r="P6" s="824"/>
      <c r="Q6" s="824"/>
      <c r="R6" s="824"/>
      <c r="S6" s="824"/>
      <c r="T6" s="709" t="s">
        <v>1050</v>
      </c>
    </row>
    <row r="7" spans="1:21">
      <c r="A7" s="2155" t="s">
        <v>1315</v>
      </c>
      <c r="B7" s="2155"/>
      <c r="C7" s="2155"/>
      <c r="D7" s="2155"/>
      <c r="E7" s="2155"/>
      <c r="F7" s="2155"/>
      <c r="G7" s="2155"/>
      <c r="I7" s="819" t="s">
        <v>1051</v>
      </c>
      <c r="J7" s="820">
        <v>38416.69</v>
      </c>
      <c r="K7" s="806"/>
      <c r="L7" s="1073"/>
      <c r="M7" s="1073"/>
      <c r="O7" s="821">
        <v>4</v>
      </c>
      <c r="P7" s="824"/>
      <c r="Q7" s="824"/>
      <c r="R7" s="824"/>
      <c r="S7" s="824"/>
      <c r="T7" s="825" t="s">
        <v>1051</v>
      </c>
      <c r="U7" s="825"/>
    </row>
    <row r="8" spans="1:21">
      <c r="A8" s="2155" t="s">
        <v>1681</v>
      </c>
      <c r="B8" s="2155"/>
      <c r="C8" s="2155"/>
      <c r="D8" s="2155"/>
      <c r="E8" s="2155"/>
      <c r="F8" s="2155"/>
      <c r="G8" s="2155"/>
      <c r="J8" s="820"/>
      <c r="O8" s="821">
        <v>5</v>
      </c>
      <c r="P8" s="824"/>
      <c r="Q8" s="824"/>
      <c r="R8" s="824"/>
      <c r="S8" s="824"/>
    </row>
    <row r="9" spans="1:21">
      <c r="A9" s="2155" t="s">
        <v>1339</v>
      </c>
      <c r="B9" s="2155"/>
      <c r="C9" s="2155"/>
      <c r="D9" s="2155"/>
      <c r="E9" s="2155"/>
      <c r="F9" s="2155"/>
      <c r="G9" s="2155"/>
      <c r="O9" s="821">
        <v>6</v>
      </c>
      <c r="P9" s="824"/>
      <c r="Q9" s="824"/>
      <c r="R9" s="824"/>
      <c r="S9" s="824"/>
    </row>
    <row r="10" spans="1:21">
      <c r="A10" s="2166" t="s">
        <v>1680</v>
      </c>
      <c r="B10" s="2166"/>
      <c r="C10" s="2166"/>
      <c r="D10" s="2166"/>
      <c r="E10" s="2166"/>
      <c r="F10" s="2166"/>
      <c r="G10" s="826" t="s">
        <v>1109</v>
      </c>
      <c r="H10" s="709" t="s">
        <v>1072</v>
      </c>
      <c r="I10" s="709" t="s">
        <v>1073</v>
      </c>
      <c r="O10" s="821">
        <v>7</v>
      </c>
      <c r="P10" s="824"/>
      <c r="Q10" s="824"/>
      <c r="R10" s="824"/>
      <c r="S10" s="824"/>
    </row>
    <row r="11" spans="1:21">
      <c r="A11" s="2166" t="s">
        <v>1316</v>
      </c>
      <c r="B11" s="2166"/>
      <c r="C11" s="2166"/>
      <c r="D11" s="2166"/>
      <c r="E11" s="2166"/>
      <c r="F11" s="2166"/>
      <c r="G11" s="826" t="s">
        <v>1109</v>
      </c>
      <c r="H11" s="709" t="s">
        <v>1072</v>
      </c>
      <c r="I11" s="1430">
        <f>ROUND(((1.12)^(1/12))-1,4)</f>
        <v>9.4999999999999998E-3</v>
      </c>
      <c r="O11" s="821">
        <v>8</v>
      </c>
      <c r="P11" s="824"/>
      <c r="Q11" s="824"/>
      <c r="R11" s="824"/>
      <c r="S11" s="824"/>
    </row>
    <row r="12" spans="1:21">
      <c r="A12" s="2155" t="s">
        <v>1110</v>
      </c>
      <c r="B12" s="2155"/>
      <c r="C12" s="2155"/>
      <c r="D12" s="2155"/>
      <c r="E12" s="2155"/>
      <c r="F12" s="2155"/>
      <c r="G12" s="2155"/>
      <c r="O12" s="821">
        <v>9</v>
      </c>
      <c r="P12" s="824"/>
      <c r="Q12" s="824"/>
      <c r="R12" s="824"/>
      <c r="S12" s="824"/>
    </row>
    <row r="13" spans="1:21">
      <c r="O13" s="821">
        <v>10</v>
      </c>
      <c r="P13" s="824"/>
      <c r="Q13" s="824"/>
      <c r="R13" s="824"/>
      <c r="S13" s="824"/>
    </row>
    <row r="14" spans="1:21" s="725" customFormat="1" ht="16.899999999999999" thickBot="1">
      <c r="A14" s="725" t="s">
        <v>1111</v>
      </c>
      <c r="B14" s="725" t="s">
        <v>1072</v>
      </c>
      <c r="C14" s="725" t="s">
        <v>1112</v>
      </c>
      <c r="D14" s="725" t="s">
        <v>1113</v>
      </c>
      <c r="E14" s="725" t="s">
        <v>1103</v>
      </c>
      <c r="F14" s="725" t="s">
        <v>1114</v>
      </c>
      <c r="G14" s="827" t="s">
        <v>1115</v>
      </c>
      <c r="H14" s="725" t="s">
        <v>1113</v>
      </c>
      <c r="I14" s="827" t="s">
        <v>1116</v>
      </c>
      <c r="K14" s="1076"/>
      <c r="O14" s="821">
        <v>11</v>
      </c>
      <c r="P14" s="824"/>
      <c r="Q14" s="824"/>
      <c r="R14" s="824"/>
      <c r="S14" s="824"/>
    </row>
    <row r="15" spans="1:21" ht="16.899999999999999" thickTop="1">
      <c r="G15" s="725" t="s">
        <v>1117</v>
      </c>
      <c r="I15" s="725" t="s">
        <v>1118</v>
      </c>
      <c r="O15" s="821">
        <v>12</v>
      </c>
      <c r="P15" s="824"/>
      <c r="Q15" s="824"/>
      <c r="R15" s="824"/>
      <c r="S15" s="824"/>
    </row>
    <row r="16" spans="1:21">
      <c r="O16" s="821">
        <v>13</v>
      </c>
      <c r="P16" s="824"/>
      <c r="Q16" s="824"/>
      <c r="R16" s="824"/>
      <c r="S16" s="824"/>
    </row>
    <row r="17" spans="1:19">
      <c r="O17" s="821">
        <v>14</v>
      </c>
      <c r="P17" s="824"/>
      <c r="Q17" s="824"/>
      <c r="R17" s="824"/>
      <c r="S17" s="824"/>
    </row>
    <row r="18" spans="1:19">
      <c r="G18" s="2167" t="s">
        <v>1119</v>
      </c>
      <c r="H18" s="2167"/>
      <c r="I18" s="2167"/>
      <c r="O18" s="821">
        <v>15</v>
      </c>
      <c r="P18" s="824"/>
      <c r="Q18" s="824"/>
      <c r="R18" s="824"/>
      <c r="S18" s="824"/>
    </row>
    <row r="19" spans="1:19" s="725" customFormat="1" ht="16.899999999999999" thickBot="1">
      <c r="A19" s="725" t="str">
        <f>+A14</f>
        <v>VA</v>
      </c>
      <c r="B19" s="725" t="str">
        <f>+B14</f>
        <v>=</v>
      </c>
      <c r="C19" s="725">
        <v>100</v>
      </c>
      <c r="E19" s="725">
        <v>130</v>
      </c>
      <c r="G19" s="827">
        <f>(1+I11)^96-1</f>
        <v>1.4786033643147727</v>
      </c>
      <c r="I19" s="827">
        <v>90</v>
      </c>
      <c r="K19" s="1076"/>
      <c r="O19" s="1068">
        <v>16</v>
      </c>
      <c r="P19" s="824"/>
      <c r="Q19" s="824"/>
      <c r="R19" s="824"/>
      <c r="S19" s="824"/>
    </row>
    <row r="20" spans="1:19" ht="17.25" thickTop="1" thickBot="1">
      <c r="G20" s="827">
        <f>+I11*((1+I11)^96)</f>
        <v>2.3546731960990341E-2</v>
      </c>
      <c r="I20" s="827">
        <f>(1+I11)^97</f>
        <v>2.5021500962757632</v>
      </c>
      <c r="O20" s="821">
        <v>17</v>
      </c>
      <c r="P20" s="824"/>
      <c r="Q20" s="824"/>
      <c r="R20" s="824"/>
      <c r="S20" s="824"/>
    </row>
    <row r="21" spans="1:19" ht="16.899999999999999" thickTop="1">
      <c r="E21" s="1069"/>
      <c r="G21" s="709">
        <f>ROUND(+E19*G19/G20,2)</f>
        <v>8163.27</v>
      </c>
      <c r="I21" s="709">
        <f>ROUND(+I19/I20,2)</f>
        <v>35.97</v>
      </c>
      <c r="O21" s="821">
        <v>18</v>
      </c>
      <c r="P21" s="824"/>
      <c r="Q21" s="824"/>
      <c r="R21" s="824"/>
      <c r="S21" s="824"/>
    </row>
    <row r="22" spans="1:19">
      <c r="A22" s="725"/>
      <c r="B22" s="725"/>
      <c r="C22" s="725"/>
      <c r="O22" s="821">
        <v>19</v>
      </c>
      <c r="P22" s="824"/>
      <c r="Q22" s="824"/>
      <c r="R22" s="824"/>
      <c r="S22" s="824"/>
    </row>
    <row r="23" spans="1:19">
      <c r="A23" s="725" t="str">
        <f>+A19</f>
        <v>VA</v>
      </c>
      <c r="B23" s="725" t="str">
        <f>+B19</f>
        <v>=</v>
      </c>
      <c r="C23" s="1070">
        <f>+C19</f>
        <v>100</v>
      </c>
      <c r="G23" s="1071">
        <f>+G21+I21</f>
        <v>8199.24</v>
      </c>
      <c r="O23" s="821">
        <v>20</v>
      </c>
      <c r="P23" s="824"/>
      <c r="Q23" s="824"/>
      <c r="R23" s="824"/>
      <c r="S23" s="824"/>
    </row>
    <row r="24" spans="1:19" ht="16.899999999999999" thickBot="1">
      <c r="E24" s="1070">
        <f>+C23+G23</f>
        <v>8299.24</v>
      </c>
      <c r="O24" s="821">
        <v>21</v>
      </c>
      <c r="P24" s="824"/>
      <c r="Q24" s="824"/>
      <c r="R24" s="824"/>
      <c r="S24" s="824"/>
    </row>
    <row r="25" spans="1:19" ht="16.899999999999999" thickBot="1">
      <c r="A25" s="1427" t="s">
        <v>1055</v>
      </c>
      <c r="B25" s="2168" t="s">
        <v>1052</v>
      </c>
      <c r="C25" s="2169"/>
      <c r="D25" s="2169"/>
      <c r="E25" s="2169"/>
      <c r="F25" s="2169"/>
      <c r="G25" s="2169"/>
      <c r="H25" s="1428"/>
      <c r="I25" s="1427" t="s">
        <v>1056</v>
      </c>
      <c r="J25" s="1427" t="s">
        <v>1057</v>
      </c>
      <c r="K25" s="810"/>
      <c r="L25" s="725"/>
      <c r="M25" s="725"/>
      <c r="O25" s="821">
        <v>22</v>
      </c>
      <c r="P25" s="824"/>
      <c r="Q25" s="824"/>
      <c r="R25" s="824"/>
      <c r="S25" s="824"/>
    </row>
    <row r="26" spans="1:19">
      <c r="A26" s="723" t="s">
        <v>1307</v>
      </c>
      <c r="B26" s="729"/>
      <c r="C26" s="829" t="s">
        <v>1058</v>
      </c>
      <c r="D26" s="725"/>
      <c r="E26" s="725" t="s">
        <v>1050</v>
      </c>
      <c r="F26" s="725" t="s">
        <v>1058</v>
      </c>
      <c r="H26" s="830"/>
      <c r="I26" s="799"/>
      <c r="J26" s="799"/>
      <c r="K26" s="806"/>
      <c r="L26" s="806"/>
      <c r="M26" s="806"/>
      <c r="O26" s="821">
        <v>23</v>
      </c>
      <c r="P26" s="824"/>
      <c r="Q26" s="824"/>
      <c r="R26" s="824"/>
      <c r="S26" s="824"/>
    </row>
    <row r="27" spans="1:19">
      <c r="A27" s="723"/>
      <c r="B27" s="729"/>
      <c r="H27" s="830"/>
      <c r="I27" s="799">
        <f>ROUND(+E24*J6,0)</f>
        <v>317428668</v>
      </c>
      <c r="J27" s="799"/>
      <c r="K27" s="806"/>
      <c r="L27" s="806"/>
      <c r="M27" s="806"/>
      <c r="O27" s="821">
        <v>24</v>
      </c>
      <c r="P27" s="824"/>
      <c r="Q27" s="824"/>
      <c r="R27" s="824"/>
      <c r="S27" s="824"/>
    </row>
    <row r="28" spans="1:19">
      <c r="A28" s="723"/>
      <c r="B28" s="729"/>
      <c r="H28" s="830"/>
      <c r="I28" s="799"/>
      <c r="J28" s="799">
        <f>+K28*J6</f>
        <v>481158833.59999996</v>
      </c>
      <c r="K28" s="806">
        <f>100+130*96</f>
        <v>12580</v>
      </c>
      <c r="L28" s="806"/>
      <c r="M28" s="806"/>
      <c r="O28" s="821">
        <v>25</v>
      </c>
      <c r="P28" s="824"/>
      <c r="Q28" s="824"/>
      <c r="R28" s="824"/>
      <c r="S28" s="824"/>
    </row>
    <row r="29" spans="1:19">
      <c r="A29" s="723"/>
      <c r="B29" s="729"/>
      <c r="H29" s="830"/>
      <c r="I29" s="799">
        <f>+J28-I27</f>
        <v>163730165.59999996</v>
      </c>
      <c r="J29" s="799"/>
      <c r="K29" s="1073"/>
      <c r="L29" s="806"/>
      <c r="M29" s="806"/>
      <c r="O29" s="821">
        <v>26</v>
      </c>
      <c r="P29" s="824"/>
      <c r="Q29" s="824"/>
      <c r="R29" s="824"/>
      <c r="S29" s="824"/>
    </row>
    <row r="30" spans="1:19">
      <c r="A30" s="723"/>
      <c r="B30" s="729"/>
      <c r="H30" s="830"/>
      <c r="I30" s="799"/>
      <c r="J30" s="799"/>
      <c r="K30" s="806"/>
      <c r="L30" s="806"/>
      <c r="M30" s="806"/>
      <c r="O30" s="821">
        <v>27</v>
      </c>
      <c r="P30" s="824"/>
      <c r="Q30" s="824"/>
      <c r="R30" s="824"/>
      <c r="S30" s="824"/>
    </row>
    <row r="31" spans="1:19">
      <c r="A31" s="723"/>
      <c r="B31" s="729"/>
      <c r="H31" s="830"/>
      <c r="I31" s="799">
        <v>3662677</v>
      </c>
      <c r="J31" s="799"/>
      <c r="K31" s="806"/>
      <c r="L31" s="806"/>
      <c r="M31" s="806"/>
      <c r="O31" s="821">
        <v>28</v>
      </c>
      <c r="P31" s="824"/>
      <c r="Q31" s="824"/>
      <c r="R31" s="824"/>
      <c r="S31" s="824"/>
    </row>
    <row r="32" spans="1:19" ht="16.899999999999999" thickBot="1">
      <c r="A32" s="731"/>
      <c r="B32" s="732" t="s">
        <v>1120</v>
      </c>
      <c r="C32" s="733"/>
      <c r="D32" s="733"/>
      <c r="E32" s="733"/>
      <c r="F32" s="733"/>
      <c r="G32" s="733"/>
      <c r="H32" s="831"/>
      <c r="I32" s="718"/>
      <c r="J32" s="718"/>
      <c r="K32" s="806"/>
      <c r="L32" s="806"/>
      <c r="M32" s="806"/>
      <c r="O32" s="821">
        <v>29</v>
      </c>
      <c r="P32" s="824"/>
      <c r="Q32" s="824"/>
      <c r="R32" s="824"/>
      <c r="S32" s="824"/>
    </row>
    <row r="33" spans="11:19">
      <c r="K33" s="1073"/>
      <c r="L33" s="806"/>
      <c r="M33" s="806"/>
      <c r="O33" s="821">
        <v>30</v>
      </c>
      <c r="P33" s="824"/>
      <c r="Q33" s="824"/>
      <c r="R33" s="824"/>
      <c r="S33" s="824"/>
    </row>
    <row r="34" spans="11:19">
      <c r="K34" s="1073"/>
      <c r="L34" s="806"/>
      <c r="M34" s="806"/>
      <c r="O34" s="821">
        <v>31</v>
      </c>
      <c r="P34" s="824"/>
      <c r="Q34" s="824"/>
      <c r="R34" s="824"/>
      <c r="S34" s="824"/>
    </row>
    <row r="35" spans="11:19">
      <c r="K35" s="1073"/>
      <c r="L35" s="806"/>
      <c r="M35" s="806"/>
      <c r="O35" s="821">
        <v>32</v>
      </c>
      <c r="P35" s="824"/>
      <c r="Q35" s="824"/>
      <c r="R35" s="824"/>
      <c r="S35" s="824"/>
    </row>
    <row r="36" spans="11:19">
      <c r="K36" s="806"/>
      <c r="L36" s="806"/>
      <c r="M36" s="806"/>
      <c r="O36" s="821">
        <v>33</v>
      </c>
      <c r="P36" s="824"/>
      <c r="Q36" s="824"/>
      <c r="R36" s="824"/>
      <c r="S36" s="824"/>
    </row>
    <row r="37" spans="11:19">
      <c r="K37" s="806"/>
      <c r="L37" s="806"/>
      <c r="M37" s="806"/>
      <c r="O37" s="821">
        <v>34</v>
      </c>
      <c r="P37" s="824"/>
      <c r="Q37" s="824"/>
      <c r="R37" s="824"/>
      <c r="S37" s="824"/>
    </row>
    <row r="38" spans="11:19">
      <c r="K38" s="1073"/>
      <c r="L38" s="806"/>
      <c r="M38" s="806"/>
      <c r="O38" s="821">
        <v>35</v>
      </c>
      <c r="P38" s="824"/>
      <c r="Q38" s="824"/>
      <c r="R38" s="824"/>
      <c r="S38" s="824"/>
    </row>
    <row r="39" spans="11:19">
      <c r="K39" s="806"/>
      <c r="L39" s="806"/>
      <c r="M39" s="806"/>
      <c r="O39" s="821">
        <v>36</v>
      </c>
      <c r="P39" s="824"/>
      <c r="Q39" s="824"/>
      <c r="R39" s="824"/>
      <c r="S39" s="824"/>
    </row>
    <row r="40" spans="11:19">
      <c r="K40" s="806"/>
      <c r="L40" s="806"/>
      <c r="M40" s="806"/>
      <c r="O40" s="821">
        <v>37</v>
      </c>
      <c r="P40" s="824"/>
      <c r="Q40" s="824"/>
      <c r="R40" s="824"/>
      <c r="S40" s="824"/>
    </row>
    <row r="41" spans="11:19">
      <c r="K41" s="806"/>
      <c r="L41" s="806"/>
      <c r="M41" s="806"/>
      <c r="O41" s="821">
        <v>38</v>
      </c>
      <c r="P41" s="824"/>
      <c r="Q41" s="824"/>
      <c r="R41" s="824"/>
      <c r="S41" s="824"/>
    </row>
    <row r="42" spans="11:19">
      <c r="K42" s="806"/>
      <c r="L42" s="806"/>
      <c r="M42" s="806"/>
      <c r="O42" s="821">
        <v>39</v>
      </c>
      <c r="P42" s="824"/>
      <c r="Q42" s="824"/>
      <c r="R42" s="824"/>
      <c r="S42" s="824"/>
    </row>
    <row r="43" spans="11:19">
      <c r="K43" s="806"/>
      <c r="L43" s="806"/>
      <c r="M43" s="806"/>
      <c r="O43" s="821">
        <v>40</v>
      </c>
      <c r="P43" s="824"/>
      <c r="Q43" s="824"/>
      <c r="R43" s="824"/>
      <c r="S43" s="824"/>
    </row>
    <row r="44" spans="11:19">
      <c r="K44" s="806"/>
      <c r="L44" s="806"/>
      <c r="M44" s="806"/>
      <c r="O44" s="821">
        <v>41</v>
      </c>
      <c r="P44" s="824"/>
      <c r="Q44" s="824"/>
      <c r="R44" s="824"/>
      <c r="S44" s="824"/>
    </row>
    <row r="45" spans="11:19">
      <c r="K45" s="806"/>
      <c r="L45" s="806"/>
      <c r="M45" s="806"/>
      <c r="O45" s="821">
        <v>42</v>
      </c>
      <c r="P45" s="824"/>
      <c r="Q45" s="824"/>
      <c r="R45" s="824"/>
      <c r="S45" s="824"/>
    </row>
    <row r="46" spans="11:19">
      <c r="K46" s="806"/>
      <c r="L46" s="806"/>
      <c r="M46" s="806"/>
      <c r="O46" s="821">
        <v>43</v>
      </c>
      <c r="P46" s="824"/>
      <c r="Q46" s="824"/>
      <c r="R46" s="824"/>
      <c r="S46" s="824"/>
    </row>
    <row r="47" spans="11:19">
      <c r="K47" s="806"/>
      <c r="L47" s="806"/>
      <c r="M47" s="806"/>
      <c r="O47" s="821">
        <v>44</v>
      </c>
      <c r="P47" s="824"/>
      <c r="Q47" s="824"/>
      <c r="R47" s="824"/>
      <c r="S47" s="824"/>
    </row>
    <row r="48" spans="11:19">
      <c r="K48" s="806"/>
      <c r="L48" s="806"/>
      <c r="M48" s="806"/>
      <c r="O48" s="821">
        <v>45</v>
      </c>
      <c r="P48" s="824"/>
      <c r="Q48" s="824"/>
      <c r="R48" s="824"/>
      <c r="S48" s="824"/>
    </row>
    <row r="49" spans="1:19">
      <c r="K49" s="806"/>
      <c r="L49" s="806"/>
      <c r="M49" s="806"/>
      <c r="O49" s="821">
        <v>46</v>
      </c>
      <c r="P49" s="824"/>
      <c r="Q49" s="824"/>
      <c r="R49" s="824"/>
      <c r="S49" s="824"/>
    </row>
    <row r="50" spans="1:19">
      <c r="O50" s="821">
        <v>47</v>
      </c>
      <c r="P50" s="824"/>
      <c r="Q50" s="824"/>
      <c r="R50" s="824"/>
      <c r="S50" s="824"/>
    </row>
    <row r="51" spans="1:19">
      <c r="O51" s="821">
        <v>48</v>
      </c>
      <c r="P51" s="824"/>
      <c r="Q51" s="824"/>
      <c r="R51" s="824"/>
      <c r="S51" s="824"/>
    </row>
    <row r="52" spans="1:19" ht="16.899999999999999" thickBot="1">
      <c r="O52" s="821">
        <v>49</v>
      </c>
      <c r="P52" s="824"/>
      <c r="Q52" s="824"/>
      <c r="R52" s="824"/>
      <c r="S52" s="824"/>
    </row>
    <row r="53" spans="1:19" ht="16.899999999999999" thickBot="1">
      <c r="A53" s="2170" t="s">
        <v>1052</v>
      </c>
      <c r="B53" s="2170"/>
      <c r="C53" s="2170"/>
      <c r="D53" s="2170"/>
      <c r="E53" s="2170"/>
      <c r="G53" s="833" t="s">
        <v>1473</v>
      </c>
      <c r="H53" s="725"/>
      <c r="I53" s="834" t="s">
        <v>1472</v>
      </c>
      <c r="J53" s="835" t="s">
        <v>935</v>
      </c>
      <c r="K53" s="808"/>
      <c r="L53" s="1074"/>
      <c r="M53" s="1074"/>
      <c r="O53" s="821">
        <v>50</v>
      </c>
      <c r="P53" s="824"/>
      <c r="Q53" s="824"/>
      <c r="R53" s="824"/>
      <c r="S53" s="824"/>
    </row>
    <row r="54" spans="1:19">
      <c r="G54" s="836"/>
      <c r="H54" s="710"/>
      <c r="I54" s="727"/>
      <c r="J54" s="728"/>
      <c r="K54" s="805"/>
      <c r="L54" s="805"/>
      <c r="M54" s="805"/>
      <c r="O54" s="821">
        <v>51</v>
      </c>
      <c r="P54" s="824"/>
      <c r="Q54" s="824"/>
      <c r="R54" s="824"/>
      <c r="S54" s="824"/>
    </row>
    <row r="55" spans="1:19">
      <c r="G55" s="799"/>
      <c r="H55" s="710"/>
      <c r="I55" s="727"/>
      <c r="J55" s="728"/>
      <c r="K55" s="805"/>
      <c r="L55" s="805"/>
      <c r="M55" s="805"/>
      <c r="O55" s="821">
        <v>52</v>
      </c>
      <c r="P55" s="824"/>
      <c r="Q55" s="824"/>
      <c r="R55" s="824"/>
      <c r="S55" s="824"/>
    </row>
    <row r="56" spans="1:19">
      <c r="G56" s="799"/>
      <c r="H56" s="710"/>
      <c r="I56" s="727"/>
      <c r="J56" s="728"/>
      <c r="K56" s="805"/>
      <c r="L56" s="805"/>
      <c r="M56" s="805"/>
      <c r="O56" s="821">
        <v>53</v>
      </c>
      <c r="P56" s="824"/>
      <c r="Q56" s="824"/>
      <c r="R56" s="824"/>
      <c r="S56" s="824"/>
    </row>
    <row r="57" spans="1:19">
      <c r="G57" s="799"/>
      <c r="H57" s="710"/>
      <c r="I57" s="727"/>
      <c r="J57" s="728"/>
      <c r="K57" s="805"/>
      <c r="L57" s="805"/>
      <c r="M57" s="805"/>
      <c r="O57" s="821"/>
      <c r="P57" s="824"/>
      <c r="Q57" s="824"/>
      <c r="R57" s="824"/>
      <c r="S57" s="824"/>
    </row>
    <row r="58" spans="1:19" ht="16.899999999999999" thickBot="1">
      <c r="G58" s="718"/>
      <c r="H58" s="710"/>
      <c r="I58" s="719"/>
      <c r="J58" s="720"/>
      <c r="K58" s="805"/>
      <c r="L58" s="805"/>
      <c r="M58" s="805"/>
      <c r="O58" s="821">
        <v>54</v>
      </c>
      <c r="P58" s="824"/>
      <c r="Q58" s="824"/>
      <c r="R58" s="824"/>
      <c r="S58" s="824"/>
    </row>
    <row r="59" spans="1:19" ht="16.899999999999999" thickBot="1">
      <c r="I59" s="837"/>
      <c r="J59" s="815"/>
      <c r="K59" s="712"/>
      <c r="L59" s="815"/>
      <c r="M59" s="815"/>
      <c r="O59" s="821">
        <v>55</v>
      </c>
      <c r="P59" s="824"/>
      <c r="Q59" s="824"/>
      <c r="R59" s="824"/>
      <c r="S59" s="824"/>
    </row>
    <row r="60" spans="1:19" ht="16.899999999999999" thickBot="1">
      <c r="A60" s="833" t="s">
        <v>1055</v>
      </c>
      <c r="B60" s="2163" t="s">
        <v>1052</v>
      </c>
      <c r="C60" s="2164"/>
      <c r="D60" s="2164"/>
      <c r="E60" s="2164"/>
      <c r="F60" s="2164"/>
      <c r="G60" s="2164"/>
      <c r="H60" s="2165"/>
      <c r="I60" s="833" t="s">
        <v>1056</v>
      </c>
      <c r="J60" s="833" t="s">
        <v>1057</v>
      </c>
      <c r="K60" s="810"/>
      <c r="L60" s="725"/>
      <c r="M60" s="725"/>
      <c r="O60" s="821">
        <v>56</v>
      </c>
      <c r="P60" s="824"/>
      <c r="Q60" s="824"/>
      <c r="R60" s="824"/>
      <c r="S60" s="824"/>
    </row>
    <row r="61" spans="1:19">
      <c r="A61" s="723"/>
      <c r="B61" s="729"/>
      <c r="C61" s="829" t="s">
        <v>1058</v>
      </c>
      <c r="D61" s="725"/>
      <c r="E61" s="725"/>
      <c r="F61" s="725" t="s">
        <v>1058</v>
      </c>
      <c r="H61" s="830"/>
      <c r="I61" s="723"/>
      <c r="J61" s="723"/>
      <c r="K61" s="806"/>
      <c r="O61" s="821">
        <v>57</v>
      </c>
      <c r="P61" s="824"/>
      <c r="Q61" s="824"/>
      <c r="R61" s="824"/>
      <c r="S61" s="824"/>
    </row>
    <row r="62" spans="1:19">
      <c r="A62" s="723"/>
      <c r="B62" s="729"/>
      <c r="H62" s="830"/>
      <c r="I62" s="1077"/>
      <c r="J62" s="723"/>
      <c r="K62" s="806"/>
      <c r="O62" s="821">
        <v>58</v>
      </c>
      <c r="P62" s="824"/>
      <c r="Q62" s="824"/>
      <c r="R62" s="824"/>
      <c r="S62" s="824"/>
    </row>
    <row r="63" spans="1:19">
      <c r="A63" s="723"/>
      <c r="B63" s="729"/>
      <c r="H63" s="830"/>
      <c r="I63" s="1077"/>
      <c r="J63" s="723"/>
      <c r="K63" s="806"/>
      <c r="O63" s="821">
        <v>59</v>
      </c>
      <c r="P63" s="824"/>
      <c r="Q63" s="824"/>
      <c r="R63" s="824"/>
      <c r="S63" s="824"/>
    </row>
    <row r="64" spans="1:19">
      <c r="A64" s="723"/>
      <c r="B64" s="729"/>
      <c r="H64" s="830"/>
      <c r="I64" s="723"/>
      <c r="J64" s="1077"/>
      <c r="K64" s="806"/>
      <c r="O64" s="821">
        <v>60</v>
      </c>
      <c r="P64" s="824"/>
      <c r="Q64" s="824"/>
      <c r="R64" s="824"/>
      <c r="S64" s="824"/>
    </row>
    <row r="65" spans="1:19">
      <c r="A65" s="723"/>
      <c r="B65" s="729"/>
      <c r="H65" s="830"/>
      <c r="I65" s="723"/>
      <c r="J65" s="1077"/>
      <c r="K65" s="806"/>
      <c r="O65" s="821">
        <v>61</v>
      </c>
      <c r="P65" s="824"/>
      <c r="Q65" s="824"/>
      <c r="R65" s="824"/>
      <c r="S65" s="824"/>
    </row>
    <row r="66" spans="1:19">
      <c r="A66" s="723"/>
      <c r="B66" s="729"/>
      <c r="H66" s="830"/>
      <c r="I66" s="723"/>
      <c r="J66" s="799"/>
      <c r="K66" s="806"/>
      <c r="O66" s="821">
        <v>62</v>
      </c>
      <c r="P66" s="824"/>
      <c r="Q66" s="824"/>
      <c r="R66" s="824"/>
      <c r="S66" s="824"/>
    </row>
    <row r="67" spans="1:19" ht="16.899999999999999" thickBot="1">
      <c r="A67" s="731"/>
      <c r="B67" s="732" t="s">
        <v>1059</v>
      </c>
      <c r="C67" s="733"/>
      <c r="D67" s="733"/>
      <c r="E67" s="733"/>
      <c r="F67" s="733"/>
      <c r="G67" s="733"/>
      <c r="H67" s="831"/>
      <c r="I67" s="731"/>
      <c r="J67" s="731"/>
      <c r="K67" s="806"/>
      <c r="O67" s="821">
        <v>63</v>
      </c>
      <c r="P67" s="824"/>
      <c r="Q67" s="824"/>
      <c r="R67" s="824"/>
      <c r="S67" s="824"/>
    </row>
    <row r="68" spans="1:19">
      <c r="I68" s="1078"/>
      <c r="J68" s="1078"/>
      <c r="O68" s="821">
        <v>64</v>
      </c>
      <c r="P68" s="824"/>
      <c r="Q68" s="824"/>
      <c r="R68" s="824"/>
      <c r="S68" s="824"/>
    </row>
    <row r="69" spans="1:19">
      <c r="J69" s="1078"/>
      <c r="O69" s="821">
        <v>65</v>
      </c>
      <c r="P69" s="824"/>
      <c r="Q69" s="824"/>
      <c r="R69" s="824"/>
      <c r="S69" s="824"/>
    </row>
    <row r="70" spans="1:19">
      <c r="O70" s="821">
        <v>66</v>
      </c>
      <c r="P70" s="824"/>
      <c r="Q70" s="824"/>
      <c r="R70" s="824"/>
      <c r="S70" s="824"/>
    </row>
    <row r="71" spans="1:19">
      <c r="O71" s="821">
        <v>67</v>
      </c>
      <c r="P71" s="824"/>
      <c r="Q71" s="824"/>
      <c r="R71" s="824"/>
      <c r="S71" s="824"/>
    </row>
    <row r="72" spans="1:19">
      <c r="O72" s="821">
        <v>68</v>
      </c>
      <c r="P72" s="824"/>
      <c r="Q72" s="824"/>
      <c r="R72" s="824"/>
      <c r="S72" s="824"/>
    </row>
    <row r="73" spans="1:19">
      <c r="O73" s="821">
        <v>69</v>
      </c>
      <c r="P73" s="824"/>
      <c r="Q73" s="824"/>
      <c r="R73" s="824"/>
      <c r="S73" s="824"/>
    </row>
    <row r="74" spans="1:19">
      <c r="O74" s="821">
        <v>70</v>
      </c>
      <c r="P74" s="824"/>
      <c r="Q74" s="824"/>
      <c r="R74" s="824"/>
      <c r="S74" s="824"/>
    </row>
    <row r="75" spans="1:19">
      <c r="O75" s="821">
        <v>71</v>
      </c>
      <c r="P75" s="824"/>
      <c r="Q75" s="824"/>
      <c r="R75" s="824"/>
      <c r="S75" s="824"/>
    </row>
    <row r="76" spans="1:19">
      <c r="O76" s="821">
        <v>72</v>
      </c>
      <c r="P76" s="824"/>
      <c r="Q76" s="824"/>
      <c r="R76" s="824"/>
      <c r="S76" s="824"/>
    </row>
    <row r="77" spans="1:19">
      <c r="O77" s="821">
        <v>73</v>
      </c>
      <c r="P77" s="824"/>
      <c r="Q77" s="824"/>
      <c r="R77" s="824"/>
      <c r="S77" s="824"/>
    </row>
    <row r="78" spans="1:19">
      <c r="O78" s="821">
        <v>74</v>
      </c>
      <c r="P78" s="824"/>
      <c r="Q78" s="824"/>
      <c r="R78" s="824"/>
      <c r="S78" s="824"/>
    </row>
    <row r="79" spans="1:19">
      <c r="O79" s="821">
        <v>75</v>
      </c>
      <c r="P79" s="824"/>
      <c r="Q79" s="824"/>
      <c r="R79" s="824"/>
      <c r="S79" s="824"/>
    </row>
    <row r="80" spans="1:19">
      <c r="O80" s="821">
        <v>76</v>
      </c>
      <c r="P80" s="824"/>
      <c r="Q80" s="824"/>
      <c r="R80" s="824"/>
      <c r="S80" s="824"/>
    </row>
    <row r="81" spans="15:19">
      <c r="O81" s="821">
        <v>77</v>
      </c>
      <c r="P81" s="824"/>
      <c r="Q81" s="824"/>
      <c r="R81" s="824"/>
      <c r="S81" s="824"/>
    </row>
    <row r="82" spans="15:19">
      <c r="O82" s="821">
        <v>78</v>
      </c>
      <c r="P82" s="824"/>
      <c r="Q82" s="824"/>
      <c r="R82" s="824"/>
      <c r="S82" s="824"/>
    </row>
    <row r="83" spans="15:19">
      <c r="O83" s="821">
        <v>79</v>
      </c>
      <c r="P83" s="824"/>
      <c r="Q83" s="824"/>
      <c r="R83" s="824"/>
      <c r="S83" s="824"/>
    </row>
    <row r="84" spans="15:19">
      <c r="O84" s="821">
        <v>80</v>
      </c>
      <c r="P84" s="824"/>
      <c r="Q84" s="824"/>
      <c r="R84" s="824"/>
      <c r="S84" s="824"/>
    </row>
    <row r="85" spans="15:19">
      <c r="O85" s="821">
        <v>81</v>
      </c>
      <c r="P85" s="824"/>
      <c r="Q85" s="824"/>
      <c r="R85" s="824"/>
      <c r="S85" s="824"/>
    </row>
    <row r="86" spans="15:19">
      <c r="O86" s="821">
        <v>82</v>
      </c>
      <c r="P86" s="824"/>
      <c r="Q86" s="824"/>
      <c r="R86" s="824"/>
      <c r="S86" s="824"/>
    </row>
    <row r="87" spans="15:19">
      <c r="O87" s="821">
        <v>83</v>
      </c>
      <c r="P87" s="824"/>
      <c r="Q87" s="824"/>
      <c r="R87" s="824"/>
      <c r="S87" s="824"/>
    </row>
    <row r="88" spans="15:19">
      <c r="O88" s="821">
        <v>84</v>
      </c>
      <c r="P88" s="824"/>
      <c r="Q88" s="824"/>
      <c r="R88" s="824"/>
      <c r="S88" s="824"/>
    </row>
    <row r="89" spans="15:19">
      <c r="O89" s="821">
        <v>85</v>
      </c>
      <c r="P89" s="824"/>
      <c r="Q89" s="824"/>
      <c r="R89" s="824"/>
      <c r="S89" s="824"/>
    </row>
    <row r="90" spans="15:19">
      <c r="O90" s="821">
        <v>86</v>
      </c>
      <c r="P90" s="824"/>
      <c r="Q90" s="824"/>
      <c r="R90" s="824"/>
      <c r="S90" s="824"/>
    </row>
    <row r="91" spans="15:19">
      <c r="O91" s="821">
        <v>87</v>
      </c>
      <c r="P91" s="824"/>
      <c r="Q91" s="824"/>
      <c r="R91" s="824"/>
      <c r="S91" s="824"/>
    </row>
    <row r="92" spans="15:19">
      <c r="O92" s="821">
        <v>88</v>
      </c>
      <c r="P92" s="824"/>
      <c r="Q92" s="824"/>
      <c r="R92" s="824"/>
      <c r="S92" s="824"/>
    </row>
    <row r="93" spans="15:19">
      <c r="O93" s="821">
        <v>89</v>
      </c>
      <c r="P93" s="824"/>
      <c r="Q93" s="824"/>
      <c r="R93" s="824"/>
      <c r="S93" s="824"/>
    </row>
    <row r="94" spans="15:19">
      <c r="O94" s="821">
        <v>90</v>
      </c>
      <c r="P94" s="824"/>
      <c r="Q94" s="824"/>
      <c r="R94" s="824"/>
      <c r="S94" s="824"/>
    </row>
    <row r="95" spans="15:19">
      <c r="O95" s="821">
        <v>91</v>
      </c>
      <c r="P95" s="824"/>
      <c r="Q95" s="824"/>
      <c r="R95" s="824"/>
      <c r="S95" s="824"/>
    </row>
    <row r="96" spans="15:19">
      <c r="O96" s="821">
        <v>92</v>
      </c>
      <c r="P96" s="824"/>
      <c r="Q96" s="824"/>
      <c r="R96" s="824"/>
      <c r="S96" s="824"/>
    </row>
    <row r="97" spans="15:19">
      <c r="O97" s="821">
        <v>93</v>
      </c>
      <c r="P97" s="824"/>
      <c r="Q97" s="824"/>
      <c r="R97" s="824"/>
      <c r="S97" s="824"/>
    </row>
    <row r="98" spans="15:19">
      <c r="O98" s="821">
        <v>94</v>
      </c>
      <c r="P98" s="824"/>
      <c r="Q98" s="824"/>
      <c r="R98" s="824"/>
      <c r="S98" s="824"/>
    </row>
    <row r="99" spans="15:19">
      <c r="O99" s="821">
        <v>95</v>
      </c>
      <c r="P99" s="824"/>
      <c r="Q99" s="824"/>
      <c r="R99" s="824"/>
      <c r="S99" s="824"/>
    </row>
    <row r="100" spans="15:19">
      <c r="O100" s="821">
        <v>96</v>
      </c>
      <c r="P100" s="824"/>
      <c r="Q100" s="824"/>
      <c r="R100" s="824"/>
      <c r="S100" s="824"/>
    </row>
    <row r="101" spans="15:19">
      <c r="O101" s="821">
        <v>97</v>
      </c>
      <c r="P101" s="821"/>
      <c r="Q101" s="821"/>
      <c r="R101" s="821"/>
      <c r="S101" s="821"/>
    </row>
  </sheetData>
  <mergeCells count="13">
    <mergeCell ref="B60:H60"/>
    <mergeCell ref="A10:F10"/>
    <mergeCell ref="A12:G12"/>
    <mergeCell ref="G18:I18"/>
    <mergeCell ref="B25:G25"/>
    <mergeCell ref="A53:E53"/>
    <mergeCell ref="A11:F11"/>
    <mergeCell ref="A9:G9"/>
    <mergeCell ref="A2:H3"/>
    <mergeCell ref="A5:G5"/>
    <mergeCell ref="A6:G6"/>
    <mergeCell ref="A7:G7"/>
    <mergeCell ref="A8:G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345F-B2AA-4201-941D-F9009C5D8DE0}">
  <dimension ref="A1:Q110"/>
  <sheetViews>
    <sheetView workbookViewId="0">
      <selection activeCell="C3" sqref="C3"/>
    </sheetView>
  </sheetViews>
  <sheetFormatPr baseColWidth="10" defaultColWidth="10.86328125" defaultRowHeight="16.5"/>
  <cols>
    <col min="1" max="1" width="12.6640625" style="709" customWidth="1"/>
    <col min="2" max="2" width="5" style="709" customWidth="1"/>
    <col min="3" max="3" width="23.19921875" style="709" customWidth="1"/>
    <col min="4" max="4" width="14"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4.6640625" style="709" bestFit="1" customWidth="1"/>
    <col min="11" max="11" width="4.33203125" style="709" customWidth="1"/>
    <col min="12" max="12" width="3.86328125" style="709" customWidth="1"/>
    <col min="13" max="13" width="14.86328125" style="1069" bestFit="1" customWidth="1"/>
    <col min="14" max="14" width="12.46484375" style="1069" bestFit="1" customWidth="1"/>
    <col min="15" max="15" width="11.19921875" style="1069" bestFit="1" customWidth="1"/>
    <col min="16" max="16" width="14.53125" style="1069" bestFit="1" customWidth="1"/>
    <col min="17" max="16384" width="10.86328125" style="709"/>
  </cols>
  <sheetData>
    <row r="1" spans="1:16">
      <c r="C1" s="825" t="s">
        <v>1368</v>
      </c>
      <c r="D1" s="825"/>
      <c r="E1" s="825"/>
    </row>
    <row r="2" spans="1:16">
      <c r="C2" s="709" t="s">
        <v>1682</v>
      </c>
      <c r="G2" s="725" t="s">
        <v>1143</v>
      </c>
      <c r="H2" s="1076">
        <f>+D5</f>
        <v>2500000</v>
      </c>
    </row>
    <row r="3" spans="1:16">
      <c r="C3" s="709" t="s">
        <v>1369</v>
      </c>
      <c r="D3" s="829"/>
      <c r="G3" s="725" t="s">
        <v>1370</v>
      </c>
      <c r="H3" s="806">
        <f>+H2</f>
        <v>2500000</v>
      </c>
    </row>
    <row r="4" spans="1:16">
      <c r="C4" s="852" t="s">
        <v>1371</v>
      </c>
      <c r="D4" s="1494">
        <v>1000000</v>
      </c>
      <c r="E4" s="725"/>
      <c r="F4" s="725"/>
      <c r="G4" s="725" t="s">
        <v>1372</v>
      </c>
      <c r="H4" s="806">
        <f t="shared" ref="H4:H10" si="0">+H3</f>
        <v>2500000</v>
      </c>
    </row>
    <row r="5" spans="1:16" ht="16.899999999999999" thickBot="1">
      <c r="C5" s="852" t="s">
        <v>1373</v>
      </c>
      <c r="D5" s="1494">
        <v>2500000</v>
      </c>
      <c r="E5" s="725"/>
      <c r="F5" s="725"/>
      <c r="G5" s="725" t="s">
        <v>1374</v>
      </c>
      <c r="H5" s="806">
        <f t="shared" si="0"/>
        <v>2500000</v>
      </c>
    </row>
    <row r="6" spans="1:16" ht="16.899999999999999" thickBot="1">
      <c r="C6" s="1495" t="s">
        <v>1116</v>
      </c>
      <c r="D6" s="1496" t="s">
        <v>1375</v>
      </c>
      <c r="E6" s="725"/>
      <c r="F6" s="725"/>
      <c r="G6" s="725" t="s">
        <v>1376</v>
      </c>
      <c r="H6" s="806">
        <f t="shared" si="0"/>
        <v>2500000</v>
      </c>
    </row>
    <row r="7" spans="1:16" ht="16.899999999999999" thickBot="1">
      <c r="C7" s="852" t="s">
        <v>1377</v>
      </c>
      <c r="D7" s="829">
        <v>60</v>
      </c>
      <c r="E7" s="725" t="s">
        <v>1378</v>
      </c>
      <c r="F7" s="725"/>
      <c r="G7" s="725" t="s">
        <v>1379</v>
      </c>
      <c r="H7" s="806">
        <f t="shared" si="0"/>
        <v>2500000</v>
      </c>
      <c r="M7" s="1073"/>
      <c r="N7" s="1073"/>
      <c r="O7" s="1073"/>
      <c r="P7" s="1073"/>
    </row>
    <row r="8" spans="1:16" ht="16.899999999999999" thickBot="1">
      <c r="A8" s="725"/>
      <c r="C8" s="1491" t="s">
        <v>1380</v>
      </c>
      <c r="D8" s="1497" t="s">
        <v>1375</v>
      </c>
      <c r="E8" s="725"/>
      <c r="F8" s="725"/>
      <c r="G8" s="725" t="s">
        <v>1381</v>
      </c>
      <c r="H8" s="806">
        <f t="shared" si="0"/>
        <v>2500000</v>
      </c>
      <c r="M8" s="1073"/>
      <c r="N8" s="1073"/>
      <c r="O8" s="1073"/>
      <c r="P8" s="1073"/>
    </row>
    <row r="9" spans="1:16">
      <c r="A9" s="1498"/>
      <c r="C9" s="815"/>
      <c r="G9" s="725" t="s">
        <v>1382</v>
      </c>
      <c r="H9" s="806">
        <f t="shared" si="0"/>
        <v>2500000</v>
      </c>
      <c r="M9" s="1073"/>
      <c r="N9" s="1073"/>
      <c r="O9" s="1073"/>
      <c r="P9" s="1073"/>
    </row>
    <row r="10" spans="1:16" ht="16.899999999999999" thickBot="1">
      <c r="A10" s="1499"/>
      <c r="C10" s="1500" t="s">
        <v>1071</v>
      </c>
      <c r="D10" s="837"/>
      <c r="E10" s="1468" t="s">
        <v>1073</v>
      </c>
      <c r="G10" s="725" t="s">
        <v>1383</v>
      </c>
      <c r="H10" s="806">
        <f t="shared" si="0"/>
        <v>2500000</v>
      </c>
      <c r="M10" s="1073"/>
      <c r="N10" s="1073"/>
      <c r="O10" s="1073"/>
      <c r="P10" s="1073"/>
    </row>
    <row r="11" spans="1:16">
      <c r="C11" s="1501" t="s">
        <v>1384</v>
      </c>
      <c r="D11" s="1502"/>
      <c r="E11" s="1503"/>
      <c r="H11" s="1078">
        <f>+D4</f>
        <v>1000000</v>
      </c>
      <c r="M11" s="1073"/>
      <c r="N11" s="1073"/>
      <c r="O11" s="1073"/>
      <c r="P11" s="1073"/>
    </row>
    <row r="12" spans="1:16" s="725" customFormat="1">
      <c r="C12" s="1504">
        <v>5000</v>
      </c>
      <c r="D12" s="1505"/>
      <c r="E12" s="1506"/>
      <c r="H12" s="1507">
        <f>SUM(H2:H11)</f>
        <v>23500000</v>
      </c>
      <c r="I12" s="710"/>
      <c r="J12" s="710" t="s">
        <v>931</v>
      </c>
      <c r="K12" s="710" t="s">
        <v>1367</v>
      </c>
      <c r="L12" s="709"/>
      <c r="M12" s="1508"/>
      <c r="N12" s="1508"/>
      <c r="O12" s="1508"/>
      <c r="P12" s="1508"/>
    </row>
    <row r="13" spans="1:16" ht="16.899999999999999" thickBot="1">
      <c r="C13" s="1509" t="s">
        <v>1385</v>
      </c>
      <c r="D13" s="1510">
        <f>+C12*D12</f>
        <v>0</v>
      </c>
      <c r="E13" s="1511"/>
      <c r="I13" s="2175"/>
      <c r="J13" s="2175"/>
      <c r="M13" s="1073"/>
      <c r="N13" s="1073"/>
      <c r="O13" s="1073"/>
      <c r="P13" s="1073"/>
    </row>
    <row r="14" spans="1:16" ht="16.899999999999999" thickBot="1">
      <c r="C14" s="1488"/>
      <c r="D14" s="1490"/>
      <c r="H14" s="725"/>
      <c r="I14" s="2175"/>
      <c r="J14" s="2175"/>
      <c r="M14" s="1073"/>
      <c r="N14" s="1073"/>
      <c r="O14" s="1073"/>
      <c r="P14" s="1073"/>
    </row>
    <row r="15" spans="1:16">
      <c r="F15" s="2167" t="s">
        <v>1386</v>
      </c>
      <c r="G15" s="2167"/>
      <c r="H15" s="2167"/>
      <c r="I15" s="725"/>
      <c r="J15" s="725"/>
      <c r="M15" s="1073"/>
      <c r="N15" s="1073"/>
      <c r="O15" s="1073"/>
      <c r="P15" s="1073"/>
    </row>
    <row r="16" spans="1:16" ht="16.899999999999999" thickBot="1">
      <c r="H16" s="725"/>
      <c r="I16" s="725"/>
      <c r="J16" s="725"/>
      <c r="M16" s="1073"/>
      <c r="N16" s="1073"/>
      <c r="O16" s="1073"/>
      <c r="P16" s="1073"/>
    </row>
    <row r="17" spans="1:17" s="725" customFormat="1" ht="16.899999999999999" thickBot="1">
      <c r="A17" s="725" t="s">
        <v>1111</v>
      </c>
      <c r="B17" s="725" t="s">
        <v>1072</v>
      </c>
      <c r="C17" s="1512" t="s">
        <v>1112</v>
      </c>
      <c r="D17" s="725" t="s">
        <v>1113</v>
      </c>
      <c r="E17" s="725" t="s">
        <v>1387</v>
      </c>
      <c r="F17" s="725" t="s">
        <v>1114</v>
      </c>
      <c r="G17" s="827" t="s">
        <v>1115</v>
      </c>
      <c r="H17" s="1505" t="s">
        <v>1113</v>
      </c>
      <c r="I17" s="2176" t="s">
        <v>1116</v>
      </c>
      <c r="J17" s="2176"/>
      <c r="K17" s="2176"/>
      <c r="L17" s="1505"/>
      <c r="M17" s="1505"/>
      <c r="O17" s="1076"/>
      <c r="P17" s="1076"/>
    </row>
    <row r="18" spans="1:17">
      <c r="G18" s="725" t="s">
        <v>1388</v>
      </c>
      <c r="H18" s="1513"/>
      <c r="I18" s="2171" t="s">
        <v>1389</v>
      </c>
      <c r="J18" s="2171"/>
      <c r="K18" s="2171"/>
      <c r="L18" s="1513"/>
      <c r="M18" s="1513"/>
      <c r="N18" s="709"/>
      <c r="O18" s="710"/>
      <c r="P18" s="710"/>
    </row>
    <row r="19" spans="1:17">
      <c r="H19" s="1505"/>
      <c r="I19" s="1505"/>
      <c r="J19" s="1505"/>
      <c r="K19" s="1513"/>
      <c r="L19" s="1513"/>
      <c r="M19" s="1514"/>
      <c r="N19" s="1073"/>
      <c r="O19" s="1073"/>
      <c r="P19" s="1073"/>
    </row>
    <row r="20" spans="1:17" s="725" customFormat="1" ht="16.899999999999999" thickBot="1">
      <c r="A20" s="725" t="s">
        <v>1111</v>
      </c>
      <c r="B20" s="725" t="s">
        <v>1072</v>
      </c>
      <c r="C20" s="1515"/>
      <c r="D20" s="725" t="s">
        <v>1113</v>
      </c>
      <c r="E20" s="1515"/>
      <c r="F20" s="725" t="s">
        <v>1114</v>
      </c>
      <c r="G20" s="1516"/>
      <c r="H20" s="1505"/>
      <c r="I20" s="2171"/>
      <c r="J20" s="2171"/>
      <c r="K20" s="1505"/>
      <c r="L20" s="1505"/>
      <c r="M20" s="1517"/>
      <c r="N20" s="1508"/>
      <c r="O20" s="1508"/>
      <c r="P20" s="1508"/>
    </row>
    <row r="21" spans="1:17" ht="17.25" thickTop="1" thickBot="1">
      <c r="G21" s="1518"/>
      <c r="H21" s="1513"/>
      <c r="I21" s="1505"/>
      <c r="J21" s="1505"/>
      <c r="K21" s="1513"/>
      <c r="L21" s="1513"/>
      <c r="M21" s="1514"/>
      <c r="N21" s="1073"/>
      <c r="O21" s="1073"/>
      <c r="P21" s="1073"/>
    </row>
    <row r="22" spans="1:17" s="725" customFormat="1" ht="16.899999999999999" thickBot="1">
      <c r="A22" s="1519" t="str">
        <f>+A20</f>
        <v>VA</v>
      </c>
      <c r="B22" s="1520" t="s">
        <v>1072</v>
      </c>
      <c r="C22" s="1521"/>
      <c r="D22" s="807"/>
      <c r="H22" s="1505"/>
      <c r="I22" s="1505"/>
      <c r="J22" s="1505"/>
      <c r="K22" s="1505"/>
      <c r="L22" s="1505"/>
      <c r="M22" s="1517"/>
      <c r="N22" s="1508"/>
      <c r="O22" s="1508"/>
      <c r="P22" s="1508"/>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2" t="s">
        <v>1055</v>
      </c>
      <c r="B26" s="2172" t="s">
        <v>1052</v>
      </c>
      <c r="C26" s="2173"/>
      <c r="D26" s="2173"/>
      <c r="E26" s="2173"/>
      <c r="F26" s="2174"/>
      <c r="G26" s="1522" t="s">
        <v>1056</v>
      </c>
      <c r="H26" s="1522"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3"/>
      <c r="M27" s="1524"/>
      <c r="N27" s="1524"/>
      <c r="O27" s="1524"/>
      <c r="P27" s="1525"/>
      <c r="Q27" s="816"/>
    </row>
    <row r="28" spans="1:17">
      <c r="A28" s="723"/>
      <c r="B28" s="729"/>
      <c r="F28" s="830"/>
      <c r="G28" s="799"/>
      <c r="H28" s="799"/>
      <c r="K28" s="806"/>
      <c r="L28" s="816"/>
      <c r="M28" s="1090"/>
      <c r="N28" s="1526"/>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6"/>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7"/>
      <c r="P88" s="1527"/>
      <c r="Q88" s="816"/>
    </row>
    <row r="89" spans="12:17">
      <c r="M89" s="1527"/>
      <c r="N89" s="1527"/>
      <c r="O89" s="1527"/>
      <c r="P89" s="1527"/>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7">
    <mergeCell ref="I20:J20"/>
    <mergeCell ref="B26:F26"/>
    <mergeCell ref="I13:J13"/>
    <mergeCell ref="I14:J14"/>
    <mergeCell ref="F15:H15"/>
    <mergeCell ref="I17:K17"/>
    <mergeCell ref="I18:K1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57C9-9665-4981-B4FA-E0B4C855653E}">
  <dimension ref="A1:Q110"/>
  <sheetViews>
    <sheetView workbookViewId="0">
      <selection activeCell="C3" sqref="C3"/>
    </sheetView>
  </sheetViews>
  <sheetFormatPr baseColWidth="10" defaultColWidth="10.86328125" defaultRowHeight="16.5"/>
  <cols>
    <col min="1" max="1" width="12.6640625" style="709" customWidth="1"/>
    <col min="2" max="2" width="5" style="709" customWidth="1"/>
    <col min="3" max="3" width="23.19921875" style="709" customWidth="1"/>
    <col min="4" max="4" width="14"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2.53125" style="709" bestFit="1" customWidth="1"/>
    <col min="11" max="11" width="4.33203125" style="709" customWidth="1"/>
    <col min="12" max="12" width="3.86328125" style="709" customWidth="1"/>
    <col min="13" max="13" width="14.86328125" style="1069" bestFit="1" customWidth="1"/>
    <col min="14" max="14" width="18" style="1069" bestFit="1" customWidth="1"/>
    <col min="15" max="15" width="14.6640625" style="1069" bestFit="1" customWidth="1"/>
    <col min="16" max="16" width="14.53125" style="1069" bestFit="1" customWidth="1"/>
    <col min="17" max="16384" width="10.86328125" style="709"/>
  </cols>
  <sheetData>
    <row r="1" spans="1:17">
      <c r="C1" s="825" t="s">
        <v>1368</v>
      </c>
      <c r="D1" s="825"/>
      <c r="E1" s="825"/>
    </row>
    <row r="2" spans="1:17">
      <c r="C2" s="709" t="s">
        <v>1683</v>
      </c>
      <c r="G2" s="725"/>
      <c r="H2" s="725" t="s">
        <v>1047</v>
      </c>
      <c r="J2" s="709">
        <v>100</v>
      </c>
      <c r="M2" s="1069">
        <f>+Antecedentes!C26</f>
        <v>34876.559999999998</v>
      </c>
      <c r="N2" s="710">
        <f>ROUND(+J2*M2,0)</f>
        <v>3487656</v>
      </c>
    </row>
    <row r="3" spans="1:17">
      <c r="C3" s="709" t="s">
        <v>1390</v>
      </c>
      <c r="D3" s="829"/>
      <c r="H3" s="1508" t="s">
        <v>1379</v>
      </c>
      <c r="J3" s="709">
        <v>100</v>
      </c>
      <c r="M3" s="1069">
        <f>+Antecedentes!D26</f>
        <v>35049.85</v>
      </c>
      <c r="N3" s="710">
        <f t="shared" ref="N3:N7" si="0">ROUND(+J3*M3,0)</f>
        <v>3504985</v>
      </c>
    </row>
    <row r="4" spans="1:17">
      <c r="C4" s="852" t="s">
        <v>1371</v>
      </c>
      <c r="D4" s="1494">
        <v>10</v>
      </c>
      <c r="E4" s="725" t="s">
        <v>134</v>
      </c>
      <c r="F4" s="725"/>
      <c r="H4" s="1508" t="s">
        <v>1381</v>
      </c>
      <c r="J4" s="709">
        <v>100</v>
      </c>
      <c r="M4" s="1069">
        <f>+Antecedentes!E26</f>
        <v>36098.720000000001</v>
      </c>
      <c r="N4" s="710">
        <f t="shared" si="0"/>
        <v>3609872</v>
      </c>
    </row>
    <row r="5" spans="1:17" ht="16.899999999999999" thickBot="1">
      <c r="C5" s="852" t="s">
        <v>1373</v>
      </c>
      <c r="D5" s="1494">
        <v>100</v>
      </c>
      <c r="E5" s="725" t="s">
        <v>134</v>
      </c>
      <c r="F5" s="725"/>
      <c r="H5" s="1508" t="s">
        <v>1382</v>
      </c>
      <c r="J5" s="709">
        <v>100</v>
      </c>
      <c r="M5" s="1069">
        <f>+Antecedentes!F26</f>
        <v>37205.47</v>
      </c>
      <c r="N5" s="710">
        <f t="shared" si="0"/>
        <v>3720547</v>
      </c>
    </row>
    <row r="6" spans="1:17" ht="16.899999999999999" thickBot="1">
      <c r="C6" s="1495" t="s">
        <v>1116</v>
      </c>
      <c r="D6" s="1496" t="s">
        <v>1375</v>
      </c>
      <c r="E6" s="725"/>
      <c r="F6" s="725"/>
      <c r="H6" s="725" t="s">
        <v>1383</v>
      </c>
      <c r="J6" s="709">
        <v>100</v>
      </c>
      <c r="M6" s="1069">
        <f>+Antecedentes!G26</f>
        <v>38240.519999999997</v>
      </c>
      <c r="N6" s="710">
        <f t="shared" si="0"/>
        <v>3824052</v>
      </c>
    </row>
    <row r="7" spans="1:17" ht="16.899999999999999" thickBot="1">
      <c r="C7" s="852" t="s">
        <v>1377</v>
      </c>
      <c r="D7" s="829">
        <v>70</v>
      </c>
      <c r="E7" s="725" t="s">
        <v>1378</v>
      </c>
      <c r="F7" s="725"/>
      <c r="J7" s="1494">
        <v>10</v>
      </c>
      <c r="M7" s="1073">
        <f>+M2</f>
        <v>34876.559999999998</v>
      </c>
      <c r="N7" s="710">
        <f t="shared" si="0"/>
        <v>348766</v>
      </c>
      <c r="O7" s="710"/>
      <c r="P7" s="710"/>
      <c r="Q7" s="710"/>
    </row>
    <row r="8" spans="1:17" ht="16.899999999999999" thickBot="1">
      <c r="A8" s="725"/>
      <c r="C8" s="1491" t="s">
        <v>1380</v>
      </c>
      <c r="D8" s="1497" t="s">
        <v>1375</v>
      </c>
      <c r="E8" s="725"/>
      <c r="F8" s="725"/>
      <c r="M8" s="1073"/>
      <c r="N8" s="1528">
        <f>SUM(N2:N7)</f>
        <v>18495878</v>
      </c>
      <c r="O8" s="710" t="s">
        <v>931</v>
      </c>
      <c r="P8" s="710" t="s">
        <v>1367</v>
      </c>
      <c r="Q8" s="710"/>
    </row>
    <row r="9" spans="1:17">
      <c r="A9" s="1498"/>
      <c r="C9" s="815" t="s">
        <v>1418</v>
      </c>
      <c r="M9" s="1073"/>
      <c r="N9" s="1073"/>
      <c r="O9" s="710"/>
      <c r="P9" s="710"/>
      <c r="Q9" s="710"/>
    </row>
    <row r="10" spans="1:17" ht="16.899999999999999" thickBot="1">
      <c r="A10" s="1499"/>
      <c r="C10" s="1500" t="s">
        <v>1071</v>
      </c>
      <c r="D10" s="837"/>
      <c r="E10" s="1468" t="s">
        <v>1073</v>
      </c>
      <c r="M10" s="1073"/>
      <c r="N10" s="1073"/>
      <c r="O10" s="710"/>
      <c r="P10" s="710"/>
      <c r="Q10" s="710"/>
    </row>
    <row r="11" spans="1:17">
      <c r="C11" s="1501" t="s">
        <v>1384</v>
      </c>
      <c r="D11" s="1502"/>
      <c r="E11" s="1503"/>
      <c r="M11" s="1073"/>
      <c r="N11" s="1073"/>
      <c r="O11" s="1073"/>
      <c r="P11" s="1073"/>
    </row>
    <row r="12" spans="1:17" s="725" customFormat="1">
      <c r="C12" s="1504">
        <v>5000</v>
      </c>
      <c r="D12" s="1505"/>
      <c r="E12" s="1506"/>
      <c r="I12" s="2175"/>
      <c r="J12" s="2175"/>
      <c r="L12" s="709"/>
      <c r="M12" s="1508"/>
      <c r="N12" s="1508"/>
      <c r="O12" s="1508"/>
      <c r="P12" s="1508"/>
    </row>
    <row r="13" spans="1:17" ht="16.899999999999999" thickBot="1">
      <c r="C13" s="1509" t="s">
        <v>1385</v>
      </c>
      <c r="D13" s="1510">
        <f>+C12*D12</f>
        <v>0</v>
      </c>
      <c r="E13" s="1511"/>
      <c r="I13" s="2175"/>
      <c r="J13" s="2175"/>
      <c r="M13" s="1073"/>
      <c r="N13" s="1073"/>
      <c r="O13" s="1073"/>
      <c r="P13" s="1073"/>
    </row>
    <row r="14" spans="1:17" ht="16.899999999999999" thickBot="1">
      <c r="C14" s="1488"/>
      <c r="D14" s="1490"/>
      <c r="H14" s="725"/>
      <c r="I14" s="2175"/>
      <c r="J14" s="2175"/>
      <c r="M14" s="1073"/>
      <c r="N14" s="1073"/>
      <c r="O14" s="1073"/>
      <c r="P14" s="1073"/>
    </row>
    <row r="15" spans="1:17">
      <c r="F15" s="2167" t="s">
        <v>1386</v>
      </c>
      <c r="G15" s="2167"/>
      <c r="H15" s="2167"/>
      <c r="I15" s="725"/>
      <c r="J15" s="725"/>
      <c r="M15" s="1073"/>
      <c r="N15" s="1073"/>
      <c r="O15" s="1073"/>
      <c r="P15" s="1073"/>
    </row>
    <row r="16" spans="1:17" ht="16.899999999999999" thickBot="1">
      <c r="H16" s="725"/>
      <c r="I16" s="725"/>
      <c r="J16" s="725"/>
      <c r="M16" s="1073"/>
      <c r="N16" s="1073"/>
      <c r="O16" s="1073"/>
      <c r="P16" s="1073"/>
    </row>
    <row r="17" spans="1:17" s="725" customFormat="1" ht="16.899999999999999" thickBot="1">
      <c r="A17" s="725" t="s">
        <v>1111</v>
      </c>
      <c r="B17" s="725" t="s">
        <v>1072</v>
      </c>
      <c r="C17" s="1512" t="s">
        <v>1112</v>
      </c>
      <c r="D17" s="725" t="s">
        <v>1113</v>
      </c>
      <c r="E17" s="725" t="s">
        <v>1387</v>
      </c>
      <c r="F17" s="725" t="s">
        <v>1114</v>
      </c>
      <c r="G17" s="827" t="s">
        <v>1115</v>
      </c>
      <c r="H17" s="1505" t="s">
        <v>1113</v>
      </c>
      <c r="I17" s="2176" t="s">
        <v>1116</v>
      </c>
      <c r="J17" s="2176"/>
      <c r="K17" s="2176"/>
      <c r="L17" s="1505"/>
      <c r="M17" s="1505"/>
      <c r="O17" s="1076"/>
      <c r="P17" s="1076"/>
    </row>
    <row r="18" spans="1:17">
      <c r="G18" s="725" t="s">
        <v>1388</v>
      </c>
      <c r="H18" s="1513"/>
      <c r="I18" s="2171" t="s">
        <v>1389</v>
      </c>
      <c r="J18" s="2171"/>
      <c r="K18" s="2171"/>
      <c r="L18" s="1513"/>
      <c r="M18" s="1513"/>
      <c r="N18" s="709"/>
      <c r="O18" s="710"/>
      <c r="P18" s="710"/>
    </row>
    <row r="19" spans="1:17">
      <c r="H19" s="1505"/>
      <c r="I19" s="1505"/>
      <c r="J19" s="1505"/>
      <c r="K19" s="1513"/>
      <c r="L19" s="1513"/>
      <c r="M19" s="1514"/>
      <c r="N19" s="1073"/>
      <c r="O19" s="1073"/>
      <c r="P19" s="1073"/>
    </row>
    <row r="20" spans="1:17" s="725" customFormat="1" ht="16.899999999999999" thickBot="1">
      <c r="A20" s="725" t="s">
        <v>1111</v>
      </c>
      <c r="B20" s="725" t="s">
        <v>1072</v>
      </c>
      <c r="C20" s="1515"/>
      <c r="D20" s="725" t="s">
        <v>1113</v>
      </c>
      <c r="E20" s="1515"/>
      <c r="F20" s="725" t="s">
        <v>1114</v>
      </c>
      <c r="G20" s="1516"/>
      <c r="H20" s="1505"/>
      <c r="I20" s="2171"/>
      <c r="J20" s="2171"/>
      <c r="K20" s="1505"/>
      <c r="L20" s="1505"/>
      <c r="M20" s="1517"/>
      <c r="N20" s="1508"/>
      <c r="O20" s="1508"/>
      <c r="P20" s="1508"/>
    </row>
    <row r="21" spans="1:17" ht="17.25" thickTop="1" thickBot="1">
      <c r="G21" s="1518"/>
      <c r="H21" s="1513"/>
      <c r="I21" s="1505"/>
      <c r="J21" s="1505"/>
      <c r="K21" s="1513"/>
      <c r="L21" s="1513"/>
      <c r="M21" s="1514"/>
      <c r="N21" s="1073"/>
      <c r="O21" s="1073"/>
      <c r="P21" s="1073"/>
    </row>
    <row r="22" spans="1:17" s="725" customFormat="1" ht="16.899999999999999" thickBot="1">
      <c r="A22" s="1519" t="str">
        <f>+A20</f>
        <v>VA</v>
      </c>
      <c r="B22" s="1520" t="s">
        <v>1072</v>
      </c>
      <c r="C22" s="1521"/>
      <c r="D22" s="807"/>
      <c r="H22" s="1505"/>
      <c r="I22" s="1505"/>
      <c r="J22" s="1505"/>
      <c r="K22" s="1505"/>
      <c r="L22" s="1505"/>
      <c r="M22" s="1517"/>
      <c r="N22" s="1508"/>
      <c r="O22" s="1508"/>
      <c r="P22" s="1508"/>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2" t="s">
        <v>1055</v>
      </c>
      <c r="B26" s="2172" t="s">
        <v>1052</v>
      </c>
      <c r="C26" s="2173"/>
      <c r="D26" s="2173"/>
      <c r="E26" s="2173"/>
      <c r="F26" s="2174"/>
      <c r="G26" s="1522" t="s">
        <v>1056</v>
      </c>
      <c r="H26" s="1522"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3"/>
      <c r="M27" s="1524"/>
      <c r="N27" s="1524"/>
      <c r="O27" s="1524"/>
      <c r="P27" s="1525"/>
      <c r="Q27" s="816"/>
    </row>
    <row r="28" spans="1:17">
      <c r="A28" s="723"/>
      <c r="B28" s="729"/>
      <c r="F28" s="830"/>
      <c r="G28" s="799"/>
      <c r="H28" s="799"/>
      <c r="K28" s="806"/>
      <c r="L28" s="816"/>
      <c r="M28" s="1090"/>
      <c r="N28" s="1526"/>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6"/>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7"/>
      <c r="P88" s="1527"/>
      <c r="Q88" s="816"/>
    </row>
    <row r="89" spans="12:17">
      <c r="M89" s="1527"/>
      <c r="N89" s="1527"/>
      <c r="O89" s="1527"/>
      <c r="P89" s="1527"/>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8">
    <mergeCell ref="I20:J20"/>
    <mergeCell ref="B26:F26"/>
    <mergeCell ref="I12:J12"/>
    <mergeCell ref="I13:J13"/>
    <mergeCell ref="I14:J14"/>
    <mergeCell ref="F15:H15"/>
    <mergeCell ref="I17:K17"/>
    <mergeCell ref="I18:K1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43FD-F11C-4813-BB6E-D59BD2D23072}">
  <dimension ref="A1:Q110"/>
  <sheetViews>
    <sheetView workbookViewId="0">
      <selection activeCell="E8" sqref="E8"/>
    </sheetView>
  </sheetViews>
  <sheetFormatPr baseColWidth="10" defaultColWidth="10.86328125" defaultRowHeight="16.5"/>
  <cols>
    <col min="1" max="1" width="12.6640625" style="709" customWidth="1"/>
    <col min="2" max="2" width="5" style="709" customWidth="1"/>
    <col min="3" max="3" width="23.19921875" style="709" customWidth="1"/>
    <col min="4" max="4" width="14.33203125"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4.6640625" style="709" bestFit="1" customWidth="1"/>
    <col min="11" max="11" width="4.33203125" style="709" customWidth="1"/>
    <col min="12" max="12" width="3.86328125" style="709" customWidth="1"/>
    <col min="13" max="13" width="14.86328125" style="1069" bestFit="1" customWidth="1"/>
    <col min="14" max="14" width="12.46484375" style="1069" bestFit="1" customWidth="1"/>
    <col min="15" max="15" width="11.19921875" style="1069" bestFit="1" customWidth="1"/>
    <col min="16" max="16" width="14.53125" style="1069" bestFit="1" customWidth="1"/>
    <col min="17" max="16384" width="10.86328125" style="709"/>
  </cols>
  <sheetData>
    <row r="1" spans="1:16">
      <c r="C1" s="825" t="s">
        <v>1368</v>
      </c>
      <c r="D1" s="825"/>
      <c r="E1" s="825"/>
    </row>
    <row r="2" spans="1:16">
      <c r="C2" s="709" t="s">
        <v>1682</v>
      </c>
      <c r="G2" s="725" t="s">
        <v>1143</v>
      </c>
      <c r="H2" s="1076">
        <f>+D5</f>
        <v>150000</v>
      </c>
    </row>
    <row r="3" spans="1:16">
      <c r="C3" s="709" t="s">
        <v>1391</v>
      </c>
      <c r="D3" s="829"/>
      <c r="G3" s="725" t="s">
        <v>1370</v>
      </c>
      <c r="H3" s="806">
        <f>+H2</f>
        <v>150000</v>
      </c>
    </row>
    <row r="4" spans="1:16">
      <c r="C4" s="852" t="s">
        <v>1371</v>
      </c>
      <c r="D4" s="1494"/>
      <c r="E4" s="725"/>
      <c r="F4" s="725"/>
      <c r="G4" s="725" t="s">
        <v>1372</v>
      </c>
      <c r="H4" s="806">
        <f t="shared" ref="H4:H10" si="0">+H3</f>
        <v>150000</v>
      </c>
    </row>
    <row r="5" spans="1:16" ht="16.899999999999999" thickBot="1">
      <c r="C5" s="852" t="s">
        <v>1373</v>
      </c>
      <c r="D5" s="1494">
        <v>150000</v>
      </c>
      <c r="E5" s="725">
        <f>+D5*12</f>
        <v>1800000</v>
      </c>
      <c r="F5" s="725"/>
      <c r="G5" s="725" t="s">
        <v>1374</v>
      </c>
      <c r="H5" s="806">
        <f t="shared" si="0"/>
        <v>150000</v>
      </c>
    </row>
    <row r="6" spans="1:16" ht="16.899999999999999" thickBot="1">
      <c r="C6" s="1495" t="s">
        <v>1116</v>
      </c>
      <c r="D6" s="1496" t="s">
        <v>1375</v>
      </c>
      <c r="E6" s="725"/>
      <c r="F6" s="725"/>
      <c r="G6" s="725" t="s">
        <v>1376</v>
      </c>
      <c r="H6" s="806">
        <f t="shared" si="0"/>
        <v>150000</v>
      </c>
      <c r="J6" s="710"/>
    </row>
    <row r="7" spans="1:16" ht="16.899999999999999" thickBot="1">
      <c r="C7" s="852" t="s">
        <v>1470</v>
      </c>
      <c r="D7" s="829">
        <f>4*12</f>
        <v>48</v>
      </c>
      <c r="E7" s="725" t="s">
        <v>1471</v>
      </c>
      <c r="F7" s="725"/>
      <c r="G7" s="725" t="s">
        <v>1379</v>
      </c>
      <c r="H7" s="806">
        <f t="shared" si="0"/>
        <v>150000</v>
      </c>
      <c r="J7" s="710"/>
      <c r="M7" s="1073"/>
      <c r="N7" s="1073"/>
      <c r="O7" s="1073"/>
      <c r="P7" s="1073"/>
    </row>
    <row r="8" spans="1:16" ht="16.899999999999999" thickBot="1">
      <c r="A8" s="725"/>
      <c r="C8" s="1491" t="s">
        <v>1380</v>
      </c>
      <c r="D8" s="1497" t="s">
        <v>1375</v>
      </c>
      <c r="E8" s="725"/>
      <c r="F8" s="725"/>
      <c r="G8" s="725" t="s">
        <v>1381</v>
      </c>
      <c r="H8" s="806">
        <f t="shared" si="0"/>
        <v>150000</v>
      </c>
      <c r="M8" s="1073"/>
      <c r="N8" s="1073"/>
      <c r="O8" s="1073"/>
      <c r="P8" s="1073"/>
    </row>
    <row r="9" spans="1:16">
      <c r="A9" s="1498"/>
      <c r="C9" s="815" t="s">
        <v>1418</v>
      </c>
      <c r="G9" s="725" t="s">
        <v>1382</v>
      </c>
      <c r="H9" s="806">
        <f t="shared" si="0"/>
        <v>150000</v>
      </c>
      <c r="M9" s="1073"/>
      <c r="N9" s="1073"/>
      <c r="O9" s="1073"/>
      <c r="P9" s="1073"/>
    </row>
    <row r="10" spans="1:16" ht="16.899999999999999" thickBot="1">
      <c r="A10" s="1499"/>
      <c r="C10" s="1500" t="s">
        <v>1071</v>
      </c>
      <c r="D10" s="837"/>
      <c r="E10" s="1468" t="s">
        <v>1073</v>
      </c>
      <c r="G10" s="725" t="s">
        <v>1383</v>
      </c>
      <c r="H10" s="806">
        <f t="shared" si="0"/>
        <v>150000</v>
      </c>
      <c r="M10" s="1073"/>
      <c r="N10" s="1073"/>
      <c r="O10" s="1073"/>
      <c r="P10" s="1073"/>
    </row>
    <row r="11" spans="1:16">
      <c r="C11" s="1501" t="s">
        <v>1384</v>
      </c>
      <c r="D11" s="1502"/>
      <c r="E11" s="1503"/>
      <c r="H11" s="1078">
        <f>+D4</f>
        <v>0</v>
      </c>
      <c r="M11" s="1073"/>
      <c r="N11" s="1073"/>
      <c r="O11" s="1073"/>
      <c r="P11" s="1073"/>
    </row>
    <row r="12" spans="1:16" s="725" customFormat="1">
      <c r="C12" s="1504">
        <v>5000</v>
      </c>
      <c r="D12" s="1505"/>
      <c r="E12" s="1506"/>
      <c r="H12" s="1507">
        <f>SUM(H2:H11)</f>
        <v>1350000</v>
      </c>
      <c r="I12" s="710"/>
      <c r="J12" s="710" t="s">
        <v>932</v>
      </c>
      <c r="K12" s="710" t="s">
        <v>1392</v>
      </c>
      <c r="L12" s="709"/>
      <c r="M12" s="1508"/>
      <c r="N12" s="1508"/>
      <c r="O12" s="1508"/>
      <c r="P12" s="1508"/>
    </row>
    <row r="13" spans="1:16" ht="16.899999999999999" thickBot="1">
      <c r="C13" s="1509" t="s">
        <v>1385</v>
      </c>
      <c r="D13" s="1510">
        <f>+C12*D12</f>
        <v>0</v>
      </c>
      <c r="E13" s="1511"/>
      <c r="I13" s="2175"/>
      <c r="J13" s="2175"/>
      <c r="M13" s="1073"/>
      <c r="N13" s="1073"/>
      <c r="O13" s="1073"/>
      <c r="P13" s="1073"/>
    </row>
    <row r="14" spans="1:16" ht="16.899999999999999" thickBot="1">
      <c r="C14" s="1488"/>
      <c r="D14" s="1490"/>
      <c r="H14" s="725"/>
      <c r="I14" s="654"/>
      <c r="J14" s="654"/>
      <c r="M14" s="1073"/>
      <c r="N14" s="1073"/>
      <c r="O14" s="1073"/>
      <c r="P14" s="1073"/>
    </row>
    <row r="15" spans="1:16">
      <c r="F15" s="2167" t="s">
        <v>1386</v>
      </c>
      <c r="G15" s="2167"/>
      <c r="H15" s="2167"/>
      <c r="I15" s="725"/>
      <c r="J15" s="725"/>
      <c r="M15" s="1073"/>
      <c r="N15" s="1073"/>
      <c r="O15" s="1073"/>
      <c r="P15" s="1073"/>
    </row>
    <row r="16" spans="1:16" ht="16.899999999999999" thickBot="1">
      <c r="H16" s="725"/>
      <c r="I16" s="725"/>
      <c r="J16" s="725"/>
      <c r="M16" s="1073"/>
      <c r="N16" s="1073"/>
      <c r="O16" s="1073"/>
      <c r="P16" s="1073"/>
    </row>
    <row r="17" spans="1:17" s="725" customFormat="1" ht="16.899999999999999" thickBot="1">
      <c r="A17" s="725" t="s">
        <v>1111</v>
      </c>
      <c r="B17" s="725" t="s">
        <v>1072</v>
      </c>
      <c r="C17" s="1512" t="s">
        <v>1112</v>
      </c>
      <c r="D17" s="725" t="s">
        <v>1113</v>
      </c>
      <c r="E17" s="725" t="s">
        <v>1387</v>
      </c>
      <c r="F17" s="725" t="s">
        <v>1114</v>
      </c>
      <c r="G17" s="827" t="s">
        <v>1115</v>
      </c>
      <c r="H17" s="1505" t="s">
        <v>1113</v>
      </c>
      <c r="I17" s="2176" t="s">
        <v>1116</v>
      </c>
      <c r="J17" s="2176"/>
      <c r="K17" s="2176"/>
      <c r="L17" s="1505"/>
      <c r="M17" s="1505"/>
      <c r="O17" s="1076"/>
      <c r="P17" s="1076"/>
    </row>
    <row r="18" spans="1:17">
      <c r="G18" s="725" t="s">
        <v>1388</v>
      </c>
      <c r="H18" s="1513"/>
      <c r="I18" s="2171" t="s">
        <v>1389</v>
      </c>
      <c r="J18" s="2171"/>
      <c r="K18" s="2171"/>
      <c r="L18" s="1513"/>
      <c r="M18" s="1513"/>
      <c r="N18" s="709"/>
      <c r="O18" s="710"/>
      <c r="P18" s="710"/>
    </row>
    <row r="19" spans="1:17">
      <c r="H19" s="1505"/>
      <c r="I19" s="1505"/>
      <c r="J19" s="1505"/>
      <c r="K19" s="1513"/>
      <c r="L19" s="1513"/>
      <c r="M19" s="1514"/>
      <c r="N19" s="1073"/>
      <c r="O19" s="1073"/>
      <c r="P19" s="1073"/>
    </row>
    <row r="20" spans="1:17" s="725" customFormat="1" ht="16.899999999999999" thickBot="1">
      <c r="A20" s="725" t="s">
        <v>1111</v>
      </c>
      <c r="B20" s="725" t="s">
        <v>1072</v>
      </c>
      <c r="C20" s="1515"/>
      <c r="D20" s="725" t="s">
        <v>1113</v>
      </c>
      <c r="E20" s="1515"/>
      <c r="F20" s="725" t="s">
        <v>1114</v>
      </c>
      <c r="G20" s="1516"/>
      <c r="H20" s="1505"/>
      <c r="I20" s="2171"/>
      <c r="J20" s="2171"/>
      <c r="K20" s="1505"/>
      <c r="L20" s="1505"/>
      <c r="M20" s="1517"/>
      <c r="N20" s="1508"/>
      <c r="O20" s="1508"/>
      <c r="P20" s="1508"/>
    </row>
    <row r="21" spans="1:17" ht="17.25" thickTop="1" thickBot="1">
      <c r="G21" s="1518"/>
      <c r="H21" s="1513"/>
      <c r="I21" s="1505"/>
      <c r="J21" s="1505"/>
      <c r="K21" s="1513"/>
      <c r="L21" s="1513"/>
      <c r="M21" s="1514"/>
      <c r="N21" s="1073"/>
      <c r="O21" s="1073"/>
      <c r="P21" s="1073"/>
    </row>
    <row r="22" spans="1:17" s="725" customFormat="1" ht="16.899999999999999" thickBot="1">
      <c r="A22" s="1519" t="str">
        <f>+A20</f>
        <v>VA</v>
      </c>
      <c r="B22" s="1520" t="s">
        <v>1072</v>
      </c>
      <c r="C22" s="1521"/>
      <c r="D22" s="807"/>
      <c r="H22" s="1505"/>
      <c r="I22" s="1505"/>
      <c r="J22" s="1505"/>
      <c r="K22" s="1505"/>
      <c r="L22" s="1505"/>
      <c r="M22" s="1517"/>
      <c r="N22" s="1508"/>
      <c r="O22" s="1508"/>
      <c r="P22" s="1508"/>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2" t="s">
        <v>1055</v>
      </c>
      <c r="B26" s="2172" t="s">
        <v>1052</v>
      </c>
      <c r="C26" s="2173"/>
      <c r="D26" s="2173"/>
      <c r="E26" s="2173"/>
      <c r="F26" s="2174"/>
      <c r="G26" s="1522" t="s">
        <v>1056</v>
      </c>
      <c r="H26" s="1522"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3"/>
      <c r="M27" s="1524"/>
      <c r="N27" s="1524"/>
      <c r="O27" s="1524"/>
      <c r="P27" s="1525"/>
      <c r="Q27" s="816"/>
    </row>
    <row r="28" spans="1:17">
      <c r="A28" s="723"/>
      <c r="B28" s="729"/>
      <c r="F28" s="830"/>
      <c r="G28" s="799"/>
      <c r="H28" s="799"/>
      <c r="K28" s="806"/>
      <c r="L28" s="816"/>
      <c r="M28" s="1090"/>
      <c r="N28" s="1526"/>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6"/>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7"/>
      <c r="P88" s="1527"/>
      <c r="Q88" s="816"/>
    </row>
    <row r="89" spans="12:17">
      <c r="M89" s="1527"/>
      <c r="N89" s="1527"/>
      <c r="O89" s="1527"/>
      <c r="P89" s="1527"/>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6">
    <mergeCell ref="B26:F26"/>
    <mergeCell ref="I13:J13"/>
    <mergeCell ref="F15:H15"/>
    <mergeCell ref="I17:K17"/>
    <mergeCell ref="I18:K18"/>
    <mergeCell ref="I20:J2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E1E83-80DC-47A3-8D22-C5268C57F5FB}">
  <dimension ref="A2:I187"/>
  <sheetViews>
    <sheetView topLeftCell="A40" zoomScale="130" zoomScaleNormal="130" workbookViewId="0">
      <selection activeCell="B143" sqref="B143:B147"/>
    </sheetView>
  </sheetViews>
  <sheetFormatPr baseColWidth="10" defaultColWidth="10.86328125" defaultRowHeight="16.5"/>
  <cols>
    <col min="1" max="1" width="13.1328125" style="709" customWidth="1"/>
    <col min="2" max="2" width="42.53125" style="709" customWidth="1"/>
    <col min="3" max="3" width="16.86328125" style="709" customWidth="1"/>
    <col min="4" max="4" width="23.53125" style="709" bestFit="1" customWidth="1"/>
    <col min="5" max="5" width="20.53125" style="709" customWidth="1"/>
    <col min="6" max="6" width="19.86328125" style="709" customWidth="1"/>
    <col min="7" max="7" width="14.46484375" style="709" bestFit="1" customWidth="1"/>
    <col min="8" max="8" width="14.796875" style="709" bestFit="1" customWidth="1"/>
    <col min="9" max="16384" width="10.86328125" style="709"/>
  </cols>
  <sheetData>
    <row r="2" spans="1:6">
      <c r="B2" s="838" t="s">
        <v>1121</v>
      </c>
      <c r="C2" s="825"/>
      <c r="D2" s="825"/>
    </row>
    <row r="3" spans="1:6" ht="5.55" customHeight="1" thickBot="1"/>
    <row r="4" spans="1:6">
      <c r="B4" s="2178" t="s">
        <v>1684</v>
      </c>
      <c r="C4" s="2179"/>
      <c r="D4" s="2179"/>
      <c r="E4" s="2179"/>
      <c r="F4" s="2180"/>
    </row>
    <row r="5" spans="1:6" ht="16.899999999999999" thickBot="1">
      <c r="B5" s="2181"/>
      <c r="C5" s="2182"/>
      <c r="D5" s="2182"/>
      <c r="E5" s="2182"/>
      <c r="F5" s="2183"/>
    </row>
    <row r="7" spans="1:6" ht="33">
      <c r="B7" s="839" t="s">
        <v>1122</v>
      </c>
      <c r="C7" s="839" t="s">
        <v>1123</v>
      </c>
      <c r="D7" s="1080" t="s">
        <v>1124</v>
      </c>
      <c r="E7" s="840"/>
      <c r="F7" s="1081" t="s">
        <v>1125</v>
      </c>
    </row>
    <row r="8" spans="1:6">
      <c r="B8" s="842" t="str">
        <f>+'Bce 8 Columnas'!B17</f>
        <v>1-1-04-006 Acciones Bitcoin</v>
      </c>
      <c r="C8" s="1079">
        <v>4000000</v>
      </c>
      <c r="D8" s="843">
        <v>80000000</v>
      </c>
      <c r="E8" s="1481"/>
      <c r="F8" s="844">
        <v>110000000</v>
      </c>
    </row>
    <row r="9" spans="1:6">
      <c r="B9" s="842" t="str">
        <f>+'Bce 8 Columnas'!B18</f>
        <v>1-1-04-007 Acciones Cardano</v>
      </c>
      <c r="C9" s="1079">
        <v>3000000</v>
      </c>
      <c r="D9" s="1478">
        <v>120000000</v>
      </c>
      <c r="E9" s="1479"/>
      <c r="F9" s="1480">
        <v>80000000</v>
      </c>
    </row>
    <row r="10" spans="1:6">
      <c r="D10" s="1082">
        <f>SUM(D8:D9)</f>
        <v>200000000</v>
      </c>
      <c r="F10" s="1083">
        <f>SUM(F8:F9)</f>
        <v>190000000</v>
      </c>
    </row>
    <row r="11" spans="1:6" ht="16.899999999999999" thickBot="1"/>
    <row r="12" spans="1:6" ht="16.899999999999999" thickBot="1">
      <c r="A12" s="1425" t="s">
        <v>1055</v>
      </c>
      <c r="B12" s="2177" t="s">
        <v>1052</v>
      </c>
      <c r="C12" s="2112"/>
      <c r="D12" s="2113"/>
      <c r="E12" s="1426" t="s">
        <v>1056</v>
      </c>
      <c r="F12" s="1426" t="s">
        <v>1057</v>
      </c>
    </row>
    <row r="13" spans="1:6">
      <c r="A13" s="723" t="s">
        <v>1303</v>
      </c>
      <c r="B13" s="724" t="s">
        <v>1058</v>
      </c>
      <c r="C13" s="725" t="s">
        <v>1126</v>
      </c>
      <c r="D13" s="726" t="s">
        <v>1058</v>
      </c>
      <c r="E13" s="847"/>
      <c r="F13" s="847"/>
    </row>
    <row r="14" spans="1:6">
      <c r="A14" s="723"/>
      <c r="B14" s="729"/>
      <c r="D14" s="730"/>
      <c r="E14" s="847"/>
      <c r="F14" s="847"/>
    </row>
    <row r="15" spans="1:6">
      <c r="A15" s="723"/>
      <c r="B15" s="729"/>
      <c r="D15" s="730"/>
      <c r="E15" s="847"/>
      <c r="F15" s="847"/>
    </row>
    <row r="16" spans="1:6">
      <c r="A16" s="723"/>
      <c r="B16" s="729"/>
      <c r="D16" s="730"/>
      <c r="E16" s="847"/>
      <c r="F16" s="847"/>
    </row>
    <row r="17" spans="1:6">
      <c r="A17" s="723"/>
      <c r="B17" s="729"/>
      <c r="D17" s="730"/>
      <c r="E17" s="847"/>
      <c r="F17" s="847"/>
    </row>
    <row r="18" spans="1:6" ht="16.05" customHeight="1">
      <c r="A18" s="723"/>
      <c r="B18" s="729"/>
      <c r="D18" s="730"/>
      <c r="E18" s="847"/>
      <c r="F18" s="847"/>
    </row>
    <row r="19" spans="1:6">
      <c r="A19" s="723"/>
      <c r="B19" s="729"/>
      <c r="D19" s="730"/>
      <c r="E19" s="847"/>
      <c r="F19" s="847"/>
    </row>
    <row r="20" spans="1:6">
      <c r="A20" s="723"/>
      <c r="B20" s="729" t="s">
        <v>1059</v>
      </c>
      <c r="D20" s="730"/>
      <c r="E20" s="847"/>
      <c r="F20" s="847"/>
    </row>
    <row r="21" spans="1:6" ht="8.5500000000000007" customHeight="1" thickBot="1">
      <c r="A21" s="731"/>
      <c r="B21" s="732"/>
      <c r="C21" s="733"/>
      <c r="D21" s="734"/>
      <c r="E21" s="848"/>
      <c r="F21" s="848"/>
    </row>
    <row r="22" spans="1:6" ht="16.899999999999999" thickBot="1"/>
    <row r="23" spans="1:6" ht="16.899999999999999" thickBot="1">
      <c r="A23" s="1425" t="s">
        <v>1055</v>
      </c>
      <c r="B23" s="2177" t="s">
        <v>1052</v>
      </c>
      <c r="C23" s="2112"/>
      <c r="D23" s="2113"/>
      <c r="E23" s="1426" t="s">
        <v>1056</v>
      </c>
      <c r="F23" s="1426" t="s">
        <v>1057</v>
      </c>
    </row>
    <row r="24" spans="1:6">
      <c r="A24" s="723" t="s">
        <v>1304</v>
      </c>
      <c r="B24" s="724" t="s">
        <v>1058</v>
      </c>
      <c r="C24" s="725" t="s">
        <v>1126</v>
      </c>
      <c r="D24" s="726" t="s">
        <v>1058</v>
      </c>
      <c r="E24" s="847"/>
      <c r="F24" s="847"/>
    </row>
    <row r="25" spans="1:6">
      <c r="A25" s="723"/>
      <c r="B25" s="729"/>
      <c r="D25" s="730"/>
      <c r="E25" s="847"/>
      <c r="F25" s="847"/>
    </row>
    <row r="26" spans="1:6">
      <c r="A26" s="723"/>
      <c r="B26" s="729"/>
      <c r="D26" s="730"/>
      <c r="E26" s="847"/>
      <c r="F26" s="847"/>
    </row>
    <row r="27" spans="1:6">
      <c r="A27" s="723"/>
      <c r="B27" s="729"/>
      <c r="D27" s="730"/>
      <c r="E27" s="847"/>
      <c r="F27" s="847"/>
    </row>
    <row r="28" spans="1:6">
      <c r="A28" s="723"/>
      <c r="B28" s="729"/>
      <c r="D28" s="730"/>
      <c r="E28" s="847"/>
      <c r="F28" s="847"/>
    </row>
    <row r="29" spans="1:6">
      <c r="A29" s="723"/>
      <c r="B29" s="729" t="s">
        <v>1059</v>
      </c>
      <c r="D29" s="730"/>
      <c r="E29" s="847"/>
      <c r="F29" s="847"/>
    </row>
    <row r="30" spans="1:6" ht="8.5500000000000007" customHeight="1" thickBot="1">
      <c r="A30" s="731"/>
      <c r="B30" s="732"/>
      <c r="C30" s="733"/>
      <c r="D30" s="734"/>
      <c r="E30" s="848"/>
      <c r="F30" s="848"/>
    </row>
    <row r="32" spans="1:6" ht="16.899999999999999" thickBot="1"/>
    <row r="33" spans="1:8" ht="16.899999999999999" thickBot="1">
      <c r="B33" s="713" t="s">
        <v>1127</v>
      </c>
      <c r="C33" s="714"/>
      <c r="D33" s="715" t="s">
        <v>1053</v>
      </c>
      <c r="E33" s="716" t="s">
        <v>857</v>
      </c>
      <c r="F33" s="717" t="s">
        <v>1054</v>
      </c>
    </row>
    <row r="34" spans="1:8" ht="16.899999999999999" thickBot="1">
      <c r="B34" s="812" t="str">
        <f>+B8</f>
        <v>1-1-04-006 Acciones Bitcoin</v>
      </c>
      <c r="C34" s="714"/>
      <c r="D34" s="849">
        <v>80000000</v>
      </c>
      <c r="E34" s="850"/>
      <c r="F34" s="851"/>
    </row>
    <row r="35" spans="1:8" ht="16.899999999999999" thickBot="1">
      <c r="B35" s="812" t="str">
        <f>+B9</f>
        <v>1-1-04-007 Acciones Cardano</v>
      </c>
      <c r="C35" s="714"/>
      <c r="D35" s="849">
        <v>120000000</v>
      </c>
      <c r="E35" s="850"/>
      <c r="F35" s="851"/>
    </row>
    <row r="36" spans="1:8" ht="16.899999999999999" thickBot="1"/>
    <row r="37" spans="1:8" ht="16.899999999999999" thickBot="1">
      <c r="A37" s="1425" t="s">
        <v>1055</v>
      </c>
      <c r="B37" s="2177" t="s">
        <v>1052</v>
      </c>
      <c r="C37" s="2112"/>
      <c r="D37" s="2113"/>
      <c r="E37" s="1426" t="s">
        <v>1056</v>
      </c>
      <c r="F37" s="1426" t="s">
        <v>1057</v>
      </c>
    </row>
    <row r="38" spans="1:8">
      <c r="A38" s="723"/>
      <c r="B38" s="724" t="s">
        <v>1058</v>
      </c>
      <c r="C38" s="852"/>
      <c r="D38" s="853" t="s">
        <v>1058</v>
      </c>
      <c r="E38" s="847"/>
      <c r="F38" s="847"/>
    </row>
    <row r="39" spans="1:8">
      <c r="A39" s="723"/>
      <c r="B39" s="729"/>
      <c r="D39" s="730"/>
      <c r="E39" s="847"/>
      <c r="F39" s="847"/>
    </row>
    <row r="40" spans="1:8">
      <c r="A40" s="723"/>
      <c r="B40" s="729"/>
      <c r="D40" s="730"/>
      <c r="E40" s="847"/>
      <c r="F40" s="847"/>
      <c r="H40" s="710"/>
    </row>
    <row r="41" spans="1:8">
      <c r="A41" s="723"/>
      <c r="B41" s="729"/>
      <c r="D41" s="730"/>
      <c r="E41" s="847"/>
      <c r="F41" s="847"/>
      <c r="H41" s="710"/>
    </row>
    <row r="42" spans="1:8">
      <c r="A42" s="723"/>
      <c r="B42" s="729"/>
      <c r="D42" s="730"/>
      <c r="E42" s="847"/>
      <c r="F42" s="847"/>
    </row>
    <row r="43" spans="1:8">
      <c r="A43" s="723"/>
      <c r="B43" s="729" t="s">
        <v>1059</v>
      </c>
      <c r="D43" s="730"/>
      <c r="E43" s="847"/>
      <c r="F43" s="847"/>
    </row>
    <row r="44" spans="1:8" ht="8.5500000000000007" customHeight="1" thickBot="1">
      <c r="A44" s="731"/>
      <c r="B44" s="732"/>
      <c r="C44" s="733"/>
      <c r="D44" s="734"/>
      <c r="E44" s="848"/>
      <c r="F44" s="848"/>
    </row>
    <row r="47" spans="1:8">
      <c r="B47" s="838" t="s">
        <v>1128</v>
      </c>
      <c r="C47" s="825"/>
      <c r="D47" s="825"/>
    </row>
    <row r="48" spans="1:8" ht="16.899999999999999" thickBot="1"/>
    <row r="49" spans="1:6">
      <c r="B49" s="2178" t="s">
        <v>1685</v>
      </c>
      <c r="C49" s="2179"/>
      <c r="D49" s="2179"/>
      <c r="E49" s="2179"/>
      <c r="F49" s="2180"/>
    </row>
    <row r="50" spans="1:6" ht="16.899999999999999" thickBot="1">
      <c r="B50" s="2181"/>
      <c r="C50" s="2182"/>
      <c r="D50" s="2182"/>
      <c r="E50" s="2182"/>
      <c r="F50" s="2183"/>
    </row>
    <row r="52" spans="1:6" ht="33">
      <c r="B52" s="839" t="s">
        <v>1122</v>
      </c>
      <c r="C52" s="839" t="s">
        <v>1123</v>
      </c>
      <c r="D52" s="839" t="s">
        <v>1124</v>
      </c>
      <c r="E52" s="840"/>
      <c r="F52" s="841" t="s">
        <v>1125</v>
      </c>
    </row>
    <row r="53" spans="1:6">
      <c r="B53" s="842" t="str">
        <f>+'Bce 8 Columnas'!B15</f>
        <v>1-1-04-004 Acciones Lan</v>
      </c>
      <c r="C53" s="843">
        <v>3500000</v>
      </c>
      <c r="D53" s="843">
        <v>100000000</v>
      </c>
      <c r="E53" s="1084"/>
      <c r="F53" s="844">
        <v>120000000</v>
      </c>
    </row>
    <row r="54" spans="1:6">
      <c r="B54" s="842" t="str">
        <f>+'Bce 8 Columnas'!B16</f>
        <v>1-1-04-005 Acciones Tesla</v>
      </c>
      <c r="C54" s="843">
        <v>2000000</v>
      </c>
      <c r="D54" s="843">
        <v>40000000</v>
      </c>
      <c r="E54" s="1084"/>
      <c r="F54" s="844">
        <v>30000000</v>
      </c>
    </row>
    <row r="55" spans="1:6">
      <c r="D55" s="845">
        <f>SUM(D53:D54)</f>
        <v>140000000</v>
      </c>
      <c r="F55" s="846">
        <f>SUM(F53:F54)</f>
        <v>150000000</v>
      </c>
    </row>
    <row r="56" spans="1:6" ht="16.899999999999999" thickBot="1"/>
    <row r="57" spans="1:6" ht="16.899999999999999" thickBot="1">
      <c r="A57" s="1425" t="s">
        <v>1055</v>
      </c>
      <c r="B57" s="2177" t="s">
        <v>1052</v>
      </c>
      <c r="C57" s="2112"/>
      <c r="D57" s="2113"/>
      <c r="E57" s="1426" t="s">
        <v>1056</v>
      </c>
      <c r="F57" s="1426" t="s">
        <v>1057</v>
      </c>
    </row>
    <row r="58" spans="1:6">
      <c r="A58" s="723" t="s">
        <v>1305</v>
      </c>
      <c r="B58" s="724" t="s">
        <v>1058</v>
      </c>
      <c r="C58" s="725" t="s">
        <v>1126</v>
      </c>
      <c r="D58" s="726" t="s">
        <v>1058</v>
      </c>
      <c r="E58" s="847"/>
      <c r="F58" s="847"/>
    </row>
    <row r="59" spans="1:6">
      <c r="A59" s="723"/>
      <c r="B59" s="729"/>
      <c r="D59" s="730"/>
      <c r="E59" s="847"/>
      <c r="F59" s="847"/>
    </row>
    <row r="60" spans="1:6">
      <c r="A60" s="723"/>
      <c r="B60" s="729"/>
      <c r="D60" s="730"/>
      <c r="E60" s="847"/>
      <c r="F60" s="847"/>
    </row>
    <row r="61" spans="1:6">
      <c r="A61" s="723"/>
      <c r="B61" s="729"/>
      <c r="D61" s="730"/>
      <c r="E61" s="847"/>
      <c r="F61" s="847"/>
    </row>
    <row r="62" spans="1:6">
      <c r="A62" s="723"/>
      <c r="B62" s="729"/>
      <c r="D62" s="730"/>
      <c r="E62" s="847"/>
      <c r="F62" s="847"/>
    </row>
    <row r="63" spans="1:6">
      <c r="A63" s="723"/>
      <c r="B63" s="729"/>
      <c r="D63" s="730"/>
      <c r="E63" s="847"/>
      <c r="F63" s="847"/>
    </row>
    <row r="64" spans="1:6">
      <c r="A64" s="723"/>
      <c r="B64" s="729" t="s">
        <v>1059</v>
      </c>
      <c r="D64" s="730"/>
      <c r="E64" s="847"/>
      <c r="F64" s="847"/>
    </row>
    <row r="65" spans="1:6" ht="16.899999999999999" thickBot="1">
      <c r="A65" s="731"/>
      <c r="B65" s="732"/>
      <c r="C65" s="733"/>
      <c r="D65" s="734"/>
      <c r="E65" s="848"/>
      <c r="F65" s="848"/>
    </row>
    <row r="66" spans="1:6" ht="16.899999999999999" thickBot="1"/>
    <row r="67" spans="1:6" ht="16.899999999999999" thickBot="1">
      <c r="A67" s="1425" t="s">
        <v>1055</v>
      </c>
      <c r="B67" s="2177" t="s">
        <v>1052</v>
      </c>
      <c r="C67" s="2112"/>
      <c r="D67" s="2113"/>
      <c r="E67" s="1426" t="s">
        <v>1056</v>
      </c>
      <c r="F67" s="1426" t="s">
        <v>1057</v>
      </c>
    </row>
    <row r="68" spans="1:6">
      <c r="A68" s="723" t="s">
        <v>1304</v>
      </c>
      <c r="B68" s="724" t="s">
        <v>1058</v>
      </c>
      <c r="C68" s="725" t="s">
        <v>1126</v>
      </c>
      <c r="D68" s="726" t="s">
        <v>1058</v>
      </c>
      <c r="E68" s="847"/>
      <c r="F68" s="847"/>
    </row>
    <row r="69" spans="1:6">
      <c r="A69" s="723"/>
      <c r="B69" s="729"/>
      <c r="D69" s="730"/>
      <c r="E69" s="847"/>
      <c r="F69" s="847"/>
    </row>
    <row r="70" spans="1:6">
      <c r="A70" s="723"/>
      <c r="B70" s="729"/>
      <c r="D70" s="730"/>
      <c r="E70" s="847"/>
      <c r="F70" s="847"/>
    </row>
    <row r="71" spans="1:6">
      <c r="A71" s="723"/>
      <c r="B71" s="729"/>
      <c r="D71" s="730"/>
      <c r="E71" s="847"/>
      <c r="F71" s="847"/>
    </row>
    <row r="72" spans="1:6">
      <c r="A72" s="723"/>
      <c r="B72" s="729"/>
      <c r="D72" s="730"/>
      <c r="E72" s="847"/>
      <c r="F72" s="847"/>
    </row>
    <row r="73" spans="1:6">
      <c r="A73" s="723"/>
      <c r="B73" s="729" t="s">
        <v>1059</v>
      </c>
      <c r="D73" s="730"/>
      <c r="E73" s="847"/>
      <c r="F73" s="847"/>
    </row>
    <row r="74" spans="1:6" ht="16.899999999999999" thickBot="1">
      <c r="A74" s="731"/>
      <c r="B74" s="732"/>
      <c r="C74" s="733"/>
      <c r="D74" s="734"/>
      <c r="E74" s="848"/>
      <c r="F74" s="848"/>
    </row>
    <row r="76" spans="1:6" ht="16.899999999999999" thickBot="1"/>
    <row r="77" spans="1:6" ht="16.899999999999999" thickBot="1">
      <c r="B77" s="713" t="s">
        <v>1127</v>
      </c>
      <c r="C77" s="714"/>
      <c r="D77" s="715" t="s">
        <v>1053</v>
      </c>
      <c r="E77" s="716" t="s">
        <v>857</v>
      </c>
      <c r="F77" s="717" t="s">
        <v>1054</v>
      </c>
    </row>
    <row r="78" spans="1:6" ht="16.899999999999999" thickBot="1">
      <c r="B78" s="812" t="str">
        <f>+B53</f>
        <v>1-1-04-004 Acciones Lan</v>
      </c>
      <c r="C78" s="714"/>
      <c r="D78" s="849">
        <v>100000000</v>
      </c>
      <c r="E78" s="850"/>
      <c r="F78" s="851"/>
    </row>
    <row r="79" spans="1:6" ht="16.899999999999999" thickBot="1">
      <c r="B79" s="812" t="str">
        <f>+B54</f>
        <v>1-1-04-005 Acciones Tesla</v>
      </c>
      <c r="C79" s="714"/>
      <c r="D79" s="1085">
        <v>40000000</v>
      </c>
      <c r="E79" s="1086"/>
      <c r="F79" s="851"/>
    </row>
    <row r="80" spans="1:6" ht="16.899999999999999" thickBot="1">
      <c r="B80" s="1087"/>
      <c r="C80" s="1088"/>
      <c r="D80" s="1089"/>
      <c r="E80" s="813"/>
      <c r="F80" s="808">
        <f>+E80</f>
        <v>0</v>
      </c>
    </row>
    <row r="81" spans="1:6" ht="16.899999999999999" thickBot="1"/>
    <row r="82" spans="1:6" ht="16.899999999999999" thickBot="1">
      <c r="A82" s="1425" t="s">
        <v>1055</v>
      </c>
      <c r="B82" s="2177" t="s">
        <v>1052</v>
      </c>
      <c r="C82" s="2112"/>
      <c r="D82" s="2113"/>
      <c r="E82" s="1426" t="s">
        <v>1056</v>
      </c>
      <c r="F82" s="1426" t="s">
        <v>1057</v>
      </c>
    </row>
    <row r="83" spans="1:6">
      <c r="A83" s="723"/>
      <c r="B83" s="724" t="s">
        <v>1058</v>
      </c>
      <c r="C83" s="852"/>
      <c r="D83" s="853" t="s">
        <v>1058</v>
      </c>
      <c r="E83" s="847"/>
      <c r="F83" s="847"/>
    </row>
    <row r="84" spans="1:6">
      <c r="A84" s="723"/>
      <c r="B84" s="729"/>
      <c r="D84" s="730"/>
      <c r="E84" s="847"/>
      <c r="F84" s="847"/>
    </row>
    <row r="85" spans="1:6">
      <c r="A85" s="723"/>
      <c r="B85" s="729"/>
      <c r="D85" s="730"/>
      <c r="E85" s="847"/>
      <c r="F85" s="847"/>
    </row>
    <row r="86" spans="1:6">
      <c r="A86" s="723"/>
      <c r="B86" s="729"/>
      <c r="D86" s="730"/>
      <c r="E86" s="847"/>
      <c r="F86" s="847"/>
    </row>
    <row r="87" spans="1:6">
      <c r="A87" s="723"/>
      <c r="B87" s="729"/>
      <c r="D87" s="730"/>
      <c r="E87" s="847"/>
      <c r="F87" s="847"/>
    </row>
    <row r="88" spans="1:6">
      <c r="A88" s="723"/>
      <c r="B88" s="729" t="s">
        <v>1059</v>
      </c>
      <c r="D88" s="730"/>
      <c r="E88" s="847"/>
      <c r="F88" s="847"/>
    </row>
    <row r="89" spans="1:6" ht="16.899999999999999" thickBot="1">
      <c r="A89" s="731"/>
      <c r="B89" s="732"/>
      <c r="C89" s="733"/>
      <c r="D89" s="734"/>
      <c r="E89" s="848"/>
      <c r="F89" s="848"/>
    </row>
    <row r="90" spans="1:6">
      <c r="D90" s="806"/>
      <c r="E90" s="1090"/>
      <c r="F90" s="1090"/>
    </row>
    <row r="92" spans="1:6">
      <c r="B92" s="838" t="s">
        <v>954</v>
      </c>
    </row>
    <row r="93" spans="1:6" ht="16.899999999999999" thickBot="1"/>
    <row r="94" spans="1:6">
      <c r="B94" s="2184" t="s">
        <v>1686</v>
      </c>
      <c r="C94" s="2185"/>
      <c r="D94" s="2185"/>
      <c r="E94" s="2185"/>
      <c r="F94" s="2186"/>
    </row>
    <row r="95" spans="1:6">
      <c r="B95" s="2187"/>
      <c r="C95" s="2188"/>
      <c r="D95" s="2188"/>
      <c r="E95" s="2188"/>
      <c r="F95" s="2189"/>
    </row>
    <row r="96" spans="1:6">
      <c r="B96" s="2187"/>
      <c r="C96" s="2188"/>
      <c r="D96" s="2188"/>
      <c r="E96" s="2188"/>
      <c r="F96" s="2189"/>
    </row>
    <row r="97" spans="2:9">
      <c r="B97" s="2187"/>
      <c r="C97" s="2188"/>
      <c r="D97" s="2188"/>
      <c r="E97" s="2188"/>
      <c r="F97" s="2189"/>
    </row>
    <row r="98" spans="2:9" ht="16.899999999999999" thickBot="1">
      <c r="B98" s="2190"/>
      <c r="C98" s="2191"/>
      <c r="D98" s="2191"/>
      <c r="E98" s="2191"/>
      <c r="F98" s="2192"/>
    </row>
    <row r="100" spans="2:9" ht="16.899999999999999" thickBot="1"/>
    <row r="101" spans="2:9" ht="16.899999999999999" thickBot="1">
      <c r="B101" s="2193" t="s">
        <v>1687</v>
      </c>
      <c r="F101" s="2193" t="s">
        <v>1654</v>
      </c>
    </row>
    <row r="102" spans="2:9" ht="16.899999999999999" thickBot="1">
      <c r="B102" s="2194"/>
      <c r="C102" s="2163" t="s">
        <v>1306</v>
      </c>
      <c r="D102" s="2164"/>
      <c r="E102" s="2165"/>
      <c r="F102" s="2194"/>
      <c r="H102" s="1091"/>
      <c r="I102" s="852"/>
    </row>
    <row r="103" spans="2:9" ht="16.899999999999999" thickBot="1">
      <c r="B103" s="2195"/>
      <c r="F103" s="2195"/>
      <c r="H103" s="1091"/>
      <c r="I103" s="852"/>
    </row>
    <row r="104" spans="2:9">
      <c r="B104" s="725"/>
      <c r="C104" s="725"/>
      <c r="D104" s="725"/>
    </row>
    <row r="105" spans="2:9" ht="16.899999999999999" thickBot="1">
      <c r="B105" s="725"/>
      <c r="C105" s="725"/>
      <c r="D105" s="725"/>
      <c r="F105" s="815" t="s">
        <v>1129</v>
      </c>
    </row>
    <row r="106" spans="2:9">
      <c r="B106" s="854" t="s">
        <v>1130</v>
      </c>
      <c r="C106" s="837" t="s">
        <v>1131</v>
      </c>
      <c r="E106" s="815" t="s">
        <v>1688</v>
      </c>
    </row>
    <row r="107" spans="2:9" ht="16.899999999999999" thickBot="1">
      <c r="B107" s="855" t="s">
        <v>1132</v>
      </c>
      <c r="E107" s="815" t="s">
        <v>1133</v>
      </c>
    </row>
    <row r="109" spans="2:9">
      <c r="B109" s="856" t="s">
        <v>1052</v>
      </c>
      <c r="C109" s="856" t="s">
        <v>1134</v>
      </c>
      <c r="D109" s="856" t="s">
        <v>1135</v>
      </c>
      <c r="E109" s="857" t="s">
        <v>1136</v>
      </c>
      <c r="F109" s="858" t="s">
        <v>1137</v>
      </c>
    </row>
    <row r="110" spans="2:9">
      <c r="B110" s="1092" t="s">
        <v>1687</v>
      </c>
      <c r="C110" s="1092"/>
      <c r="D110" s="1093"/>
      <c r="E110" s="1093"/>
      <c r="F110" s="1093"/>
    </row>
    <row r="111" spans="2:9">
      <c r="B111" s="828" t="s">
        <v>1650</v>
      </c>
      <c r="C111" s="828"/>
      <c r="D111" s="821"/>
      <c r="E111" s="821"/>
      <c r="F111" s="1094"/>
    </row>
    <row r="112" spans="2:9">
      <c r="B112" s="828" t="s">
        <v>1638</v>
      </c>
      <c r="C112" s="828"/>
      <c r="D112" s="821"/>
      <c r="E112" s="821"/>
      <c r="F112" s="1094"/>
    </row>
    <row r="113" spans="1:8" ht="16.899999999999999" thickBot="1"/>
    <row r="114" spans="1:8" ht="16.899999999999999" thickBot="1">
      <c r="A114" s="1425" t="s">
        <v>1055</v>
      </c>
      <c r="B114" s="2177" t="s">
        <v>1052</v>
      </c>
      <c r="C114" s="2112"/>
      <c r="D114" s="2113"/>
      <c r="E114" s="1426" t="s">
        <v>1056</v>
      </c>
      <c r="F114" s="1426" t="s">
        <v>1057</v>
      </c>
    </row>
    <row r="115" spans="1:8">
      <c r="A115" s="723" t="s">
        <v>1307</v>
      </c>
      <c r="B115" s="859" t="s">
        <v>1058</v>
      </c>
      <c r="C115" s="852" t="s">
        <v>1138</v>
      </c>
      <c r="D115" s="853" t="s">
        <v>1058</v>
      </c>
      <c r="E115" s="847"/>
      <c r="F115" s="847"/>
    </row>
    <row r="116" spans="1:8">
      <c r="A116" s="723"/>
      <c r="B116" s="729"/>
      <c r="D116" s="730"/>
      <c r="E116" s="847"/>
      <c r="F116" s="847"/>
    </row>
    <row r="117" spans="1:8">
      <c r="A117" s="723"/>
      <c r="B117" s="729"/>
      <c r="D117" s="730"/>
      <c r="E117" s="847"/>
      <c r="F117" s="847"/>
      <c r="G117" s="1078"/>
      <c r="H117" s="710"/>
    </row>
    <row r="118" spans="1:8" ht="16.899999999999999" thickBot="1">
      <c r="A118" s="731"/>
      <c r="B118" s="732" t="s">
        <v>1059</v>
      </c>
      <c r="C118" s="733"/>
      <c r="D118" s="734"/>
      <c r="E118" s="848"/>
      <c r="F118" s="848"/>
    </row>
    <row r="119" spans="1:8" ht="16.899999999999999" thickBot="1"/>
    <row r="120" spans="1:8" ht="16.899999999999999" thickBot="1">
      <c r="A120" s="1425" t="s">
        <v>1055</v>
      </c>
      <c r="B120" s="2177" t="s">
        <v>1052</v>
      </c>
      <c r="C120" s="2112"/>
      <c r="D120" s="2113"/>
      <c r="E120" s="1426" t="s">
        <v>1056</v>
      </c>
      <c r="F120" s="1426" t="s">
        <v>1057</v>
      </c>
    </row>
    <row r="121" spans="1:8">
      <c r="A121" s="723"/>
      <c r="B121" s="859" t="s">
        <v>1058</v>
      </c>
      <c r="C121" s="852" t="s">
        <v>1138</v>
      </c>
      <c r="D121" s="853" t="s">
        <v>1058</v>
      </c>
      <c r="E121" s="847"/>
      <c r="F121" s="847"/>
    </row>
    <row r="122" spans="1:8">
      <c r="A122" s="723"/>
      <c r="B122" s="729"/>
      <c r="D122" s="730"/>
      <c r="E122" s="847"/>
      <c r="F122" s="847"/>
    </row>
    <row r="123" spans="1:8">
      <c r="A123" s="723"/>
      <c r="B123" s="729"/>
      <c r="D123" s="730"/>
      <c r="E123" s="847"/>
      <c r="F123" s="847"/>
    </row>
    <row r="124" spans="1:8" ht="16.899999999999999" thickBot="1">
      <c r="A124" s="731"/>
      <c r="B124" s="732" t="s">
        <v>1059</v>
      </c>
      <c r="C124" s="733"/>
      <c r="D124" s="734"/>
      <c r="E124" s="848"/>
      <c r="F124" s="848"/>
    </row>
    <row r="126" spans="1:8">
      <c r="E126" s="2196" t="s">
        <v>1139</v>
      </c>
      <c r="F126" s="2196"/>
    </row>
    <row r="127" spans="1:8">
      <c r="E127" s="1095"/>
    </row>
    <row r="128" spans="1:8">
      <c r="E128" s="1096"/>
    </row>
    <row r="129" spans="1:6">
      <c r="E129" s="860"/>
      <c r="F129" s="861"/>
    </row>
    <row r="130" spans="1:6">
      <c r="E130" s="1097"/>
    </row>
    <row r="131" spans="1:6" ht="16.899999999999999" thickBot="1"/>
    <row r="132" spans="1:6" ht="16.899999999999999" thickBot="1">
      <c r="B132" s="713" t="s">
        <v>1139</v>
      </c>
      <c r="C132" s="714"/>
      <c r="D132" s="715" t="s">
        <v>1473</v>
      </c>
      <c r="E132" s="716" t="s">
        <v>857</v>
      </c>
      <c r="F132" s="717" t="s">
        <v>1054</v>
      </c>
    </row>
    <row r="133" spans="1:6" ht="16.899999999999999" thickBot="1">
      <c r="B133" s="862" t="s">
        <v>954</v>
      </c>
      <c r="D133" s="863"/>
      <c r="E133" s="719"/>
      <c r="F133" s="720"/>
    </row>
    <row r="134" spans="1:6" ht="16.899999999999999" thickBot="1"/>
    <row r="135" spans="1:6" ht="16.899999999999999" thickBot="1">
      <c r="A135" s="1425" t="s">
        <v>1055</v>
      </c>
      <c r="B135" s="2177" t="s">
        <v>1052</v>
      </c>
      <c r="C135" s="2112"/>
      <c r="D135" s="2113"/>
      <c r="E135" s="1426" t="s">
        <v>1056</v>
      </c>
      <c r="F135" s="1426" t="s">
        <v>1057</v>
      </c>
    </row>
    <row r="136" spans="1:6">
      <c r="A136" s="757"/>
      <c r="B136" s="724" t="s">
        <v>1058</v>
      </c>
      <c r="C136" s="852"/>
      <c r="D136" s="853" t="s">
        <v>1058</v>
      </c>
      <c r="E136" s="847"/>
      <c r="F136" s="847"/>
    </row>
    <row r="137" spans="1:6">
      <c r="A137" s="723"/>
      <c r="B137" s="1098"/>
      <c r="D137" s="730"/>
      <c r="E137" s="847"/>
      <c r="F137" s="847"/>
    </row>
    <row r="138" spans="1:6">
      <c r="A138" s="723"/>
      <c r="B138" s="729"/>
      <c r="D138" s="730"/>
      <c r="E138" s="847"/>
      <c r="F138" s="847"/>
    </row>
    <row r="139" spans="1:6" ht="16.899999999999999" thickBot="1">
      <c r="A139" s="731"/>
      <c r="B139" s="732" t="s">
        <v>1059</v>
      </c>
      <c r="C139" s="733"/>
      <c r="D139" s="734"/>
      <c r="E139" s="848"/>
      <c r="F139" s="848"/>
    </row>
    <row r="142" spans="1:6">
      <c r="B142" s="856" t="s">
        <v>1052</v>
      </c>
      <c r="C142" s="856" t="s">
        <v>1134</v>
      </c>
      <c r="D142" s="856" t="s">
        <v>1135</v>
      </c>
      <c r="E142" s="857" t="s">
        <v>1136</v>
      </c>
      <c r="F142" s="858" t="s">
        <v>1137</v>
      </c>
    </row>
    <row r="143" spans="1:6">
      <c r="B143" s="828"/>
      <c r="C143" s="828"/>
      <c r="D143" s="821">
        <f>+D112</f>
        <v>0</v>
      </c>
      <c r="E143" s="864"/>
      <c r="F143" s="864"/>
    </row>
    <row r="144" spans="1:6">
      <c r="B144" s="828"/>
      <c r="C144" s="828"/>
      <c r="D144" s="821"/>
      <c r="E144" s="821"/>
      <c r="F144" s="1094"/>
    </row>
    <row r="145" spans="1:6">
      <c r="B145" s="828"/>
      <c r="C145" s="828"/>
      <c r="D145" s="821"/>
      <c r="E145" s="821"/>
      <c r="F145" s="1094"/>
    </row>
    <row r="146" spans="1:6">
      <c r="B146" s="828"/>
      <c r="C146" s="828"/>
      <c r="D146" s="821"/>
      <c r="E146" s="821"/>
      <c r="F146" s="1094"/>
    </row>
    <row r="147" spans="1:6">
      <c r="B147" s="828"/>
      <c r="C147" s="828"/>
      <c r="D147" s="821"/>
      <c r="E147" s="821"/>
      <c r="F147" s="1094"/>
    </row>
    <row r="148" spans="1:6" ht="16.899999999999999" thickBot="1"/>
    <row r="149" spans="1:6" ht="16.899999999999999" thickBot="1">
      <c r="A149" s="1425" t="s">
        <v>1055</v>
      </c>
      <c r="B149" s="2177" t="s">
        <v>1052</v>
      </c>
      <c r="C149" s="2112"/>
      <c r="D149" s="2113"/>
      <c r="E149" s="1426" t="s">
        <v>1056</v>
      </c>
      <c r="F149" s="1426" t="s">
        <v>1057</v>
      </c>
    </row>
    <row r="150" spans="1:6">
      <c r="A150" s="723"/>
      <c r="B150" s="724" t="s">
        <v>1058</v>
      </c>
      <c r="C150" s="852" t="s">
        <v>1140</v>
      </c>
      <c r="D150" s="853" t="s">
        <v>1058</v>
      </c>
      <c r="E150" s="847"/>
      <c r="F150" s="847"/>
    </row>
    <row r="151" spans="1:6">
      <c r="A151" s="723"/>
      <c r="B151" s="729"/>
      <c r="D151" s="730"/>
      <c r="E151" s="847"/>
      <c r="F151" s="847"/>
    </row>
    <row r="152" spans="1:6">
      <c r="A152" s="723"/>
      <c r="B152" s="729"/>
      <c r="C152" s="862"/>
      <c r="D152" s="730"/>
      <c r="E152" s="847"/>
      <c r="F152" s="847"/>
    </row>
    <row r="153" spans="1:6" ht="16.899999999999999" thickBot="1">
      <c r="A153" s="731"/>
      <c r="B153" s="732" t="s">
        <v>1059</v>
      </c>
      <c r="C153" s="733"/>
      <c r="D153" s="734"/>
      <c r="E153" s="848"/>
      <c r="F153" s="848"/>
    </row>
    <row r="154" spans="1:6">
      <c r="A154" s="723"/>
      <c r="B154" s="724" t="s">
        <v>1058</v>
      </c>
      <c r="C154" s="852" t="s">
        <v>1141</v>
      </c>
      <c r="D154" s="853" t="s">
        <v>1058</v>
      </c>
      <c r="E154" s="847"/>
      <c r="F154" s="847"/>
    </row>
    <row r="155" spans="1:6">
      <c r="A155" s="723"/>
      <c r="B155" s="729"/>
      <c r="D155" s="730"/>
      <c r="E155" s="847"/>
      <c r="F155" s="847"/>
    </row>
    <row r="156" spans="1:6">
      <c r="A156" s="723"/>
      <c r="B156" s="729"/>
      <c r="C156" s="862"/>
      <c r="D156" s="730"/>
      <c r="E156" s="847"/>
      <c r="F156" s="847"/>
    </row>
    <row r="157" spans="1:6" ht="16.899999999999999" thickBot="1">
      <c r="A157" s="731"/>
      <c r="B157" s="732" t="s">
        <v>1059</v>
      </c>
      <c r="C157" s="733"/>
      <c r="D157" s="734"/>
      <c r="E157" s="848"/>
      <c r="F157" s="848"/>
    </row>
    <row r="158" spans="1:6">
      <c r="A158" s="723"/>
      <c r="B158" s="724" t="s">
        <v>1058</v>
      </c>
      <c r="C158" s="852" t="s">
        <v>1142</v>
      </c>
      <c r="D158" s="853" t="s">
        <v>1058</v>
      </c>
      <c r="E158" s="847"/>
      <c r="F158" s="847"/>
    </row>
    <row r="159" spans="1:6">
      <c r="A159" s="723"/>
      <c r="B159" s="729"/>
      <c r="D159" s="730"/>
      <c r="E159" s="847"/>
      <c r="F159" s="847"/>
    </row>
    <row r="160" spans="1:6">
      <c r="A160" s="723"/>
      <c r="B160" s="729"/>
      <c r="C160" s="862"/>
      <c r="D160" s="730"/>
      <c r="E160" s="847"/>
      <c r="F160" s="847"/>
    </row>
    <row r="161" spans="1:6" ht="16.899999999999999" thickBot="1">
      <c r="A161" s="731"/>
      <c r="B161" s="732" t="s">
        <v>1059</v>
      </c>
      <c r="C161" s="733"/>
      <c r="D161" s="734"/>
      <c r="E161" s="848"/>
      <c r="F161" s="848"/>
    </row>
    <row r="162" spans="1:6">
      <c r="A162" s="723"/>
      <c r="B162" s="724" t="s">
        <v>1058</v>
      </c>
      <c r="C162" s="852" t="s">
        <v>1143</v>
      </c>
      <c r="D162" s="853" t="s">
        <v>1058</v>
      </c>
      <c r="E162" s="847"/>
      <c r="F162" s="847"/>
    </row>
    <row r="163" spans="1:6">
      <c r="A163" s="723"/>
      <c r="B163" s="1098"/>
      <c r="D163" s="730"/>
      <c r="E163" s="847"/>
      <c r="F163" s="847"/>
    </row>
    <row r="164" spans="1:6">
      <c r="A164" s="723"/>
      <c r="B164" s="729"/>
      <c r="D164" s="730"/>
      <c r="E164" s="847"/>
      <c r="F164" s="847"/>
    </row>
    <row r="165" spans="1:6" ht="16.899999999999999" thickBot="1">
      <c r="A165" s="731"/>
      <c r="B165" s="732" t="s">
        <v>1059</v>
      </c>
      <c r="C165" s="733"/>
      <c r="D165" s="734"/>
      <c r="E165" s="848"/>
      <c r="F165" s="848"/>
    </row>
    <row r="167" spans="1:6">
      <c r="B167" s="710"/>
      <c r="D167" s="806"/>
    </row>
    <row r="168" spans="1:6">
      <c r="D168" s="1078"/>
      <c r="E168" s="2196" t="s">
        <v>1139</v>
      </c>
      <c r="F168" s="2196"/>
    </row>
    <row r="169" spans="1:6">
      <c r="E169" s="1095"/>
      <c r="F169" s="1078"/>
    </row>
    <row r="170" spans="1:6">
      <c r="E170" s="1096"/>
      <c r="F170" s="1078"/>
    </row>
    <row r="171" spans="1:6">
      <c r="E171" s="860"/>
      <c r="F171" s="1099"/>
    </row>
    <row r="172" spans="1:6" ht="16.899999999999999" thickBot="1">
      <c r="E172" s="1100"/>
      <c r="F172" s="1078"/>
    </row>
    <row r="173" spans="1:6" ht="16.899999999999999" thickBot="1">
      <c r="E173" s="1101" t="s">
        <v>1144</v>
      </c>
      <c r="F173" s="1102"/>
    </row>
    <row r="174" spans="1:6" ht="16.899999999999999" thickBot="1"/>
    <row r="175" spans="1:6" ht="16.899999999999999" thickBot="1">
      <c r="A175" s="1425" t="s">
        <v>1055</v>
      </c>
      <c r="B175" s="2177" t="s">
        <v>1052</v>
      </c>
      <c r="C175" s="2112"/>
      <c r="D175" s="2113"/>
      <c r="E175" s="1426" t="s">
        <v>1056</v>
      </c>
      <c r="F175" s="1426" t="s">
        <v>1057</v>
      </c>
    </row>
    <row r="176" spans="1:6">
      <c r="A176" s="832"/>
      <c r="B176" s="865" t="s">
        <v>1058</v>
      </c>
      <c r="C176" s="866" t="s">
        <v>1143</v>
      </c>
      <c r="D176" s="867" t="s">
        <v>1058</v>
      </c>
      <c r="E176" s="868"/>
      <c r="F176" s="868"/>
    </row>
    <row r="177" spans="1:6">
      <c r="A177" s="723"/>
      <c r="B177" s="1055"/>
      <c r="C177" s="852"/>
      <c r="D177" s="853"/>
      <c r="E177" s="847"/>
      <c r="F177" s="847"/>
    </row>
    <row r="178" spans="1:6">
      <c r="A178" s="723"/>
      <c r="B178" s="729"/>
      <c r="D178" s="730"/>
      <c r="E178" s="847"/>
      <c r="F178" s="847"/>
    </row>
    <row r="179" spans="1:6">
      <c r="A179" s="723"/>
      <c r="B179" s="729"/>
      <c r="C179" s="862"/>
      <c r="D179" s="730"/>
      <c r="E179" s="847"/>
      <c r="F179" s="847"/>
    </row>
    <row r="180" spans="1:6" ht="16.899999999999999" thickBot="1">
      <c r="A180" s="731"/>
      <c r="B180" s="732" t="s">
        <v>1145</v>
      </c>
      <c r="C180" s="733"/>
      <c r="D180" s="734"/>
      <c r="E180" s="848"/>
      <c r="F180" s="848"/>
    </row>
    <row r="182" spans="1:6" ht="16.899999999999999" thickBot="1"/>
    <row r="183" spans="1:6" ht="16.899999999999999" thickBot="1">
      <c r="A183" s="1425" t="s">
        <v>1055</v>
      </c>
      <c r="B183" s="2177" t="s">
        <v>1052</v>
      </c>
      <c r="C183" s="2112"/>
      <c r="D183" s="2113"/>
      <c r="E183" s="1426" t="s">
        <v>1056</v>
      </c>
      <c r="F183" s="1426" t="s">
        <v>1057</v>
      </c>
    </row>
    <row r="184" spans="1:6">
      <c r="A184" s="832"/>
      <c r="B184" s="865" t="s">
        <v>1058</v>
      </c>
      <c r="C184" s="866" t="s">
        <v>1143</v>
      </c>
      <c r="D184" s="867" t="s">
        <v>1058</v>
      </c>
      <c r="E184" s="868"/>
      <c r="F184" s="868"/>
    </row>
    <row r="185" spans="1:6">
      <c r="A185" s="723"/>
      <c r="B185" s="729"/>
      <c r="D185" s="730"/>
      <c r="E185" s="847"/>
      <c r="F185" s="847"/>
    </row>
    <row r="186" spans="1:6">
      <c r="A186" s="723"/>
      <c r="B186" s="729"/>
      <c r="C186" s="862"/>
      <c r="D186" s="730"/>
      <c r="E186" s="847"/>
      <c r="F186" s="847"/>
    </row>
    <row r="187" spans="1:6" ht="16.899999999999999" thickBot="1">
      <c r="A187" s="731"/>
      <c r="B187" s="732" t="s">
        <v>1146</v>
      </c>
      <c r="C187" s="733"/>
      <c r="D187" s="734"/>
      <c r="E187" s="848"/>
      <c r="F187" s="848"/>
    </row>
  </sheetData>
  <mergeCells count="20">
    <mergeCell ref="B183:D183"/>
    <mergeCell ref="B120:D120"/>
    <mergeCell ref="E126:F126"/>
    <mergeCell ref="B135:D135"/>
    <mergeCell ref="B149:D149"/>
    <mergeCell ref="E168:F168"/>
    <mergeCell ref="B175:D175"/>
    <mergeCell ref="B114:D114"/>
    <mergeCell ref="B4:F5"/>
    <mergeCell ref="B12:D12"/>
    <mergeCell ref="B23:D23"/>
    <mergeCell ref="B37:D37"/>
    <mergeCell ref="B49:F50"/>
    <mergeCell ref="B57:D57"/>
    <mergeCell ref="B67:D67"/>
    <mergeCell ref="B82:D82"/>
    <mergeCell ref="B94:F98"/>
    <mergeCell ref="B101:B103"/>
    <mergeCell ref="F101:F103"/>
    <mergeCell ref="C102:E10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263-C290-4AB4-9A99-6BA32736382C}">
  <dimension ref="B1:P45"/>
  <sheetViews>
    <sheetView topLeftCell="A9" zoomScale="120" zoomScaleNormal="120" workbookViewId="0">
      <selection activeCell="D16" sqref="D16"/>
    </sheetView>
  </sheetViews>
  <sheetFormatPr baseColWidth="10" defaultColWidth="10.86328125" defaultRowHeight="13.5"/>
  <cols>
    <col min="1" max="1" width="4" style="735" customWidth="1"/>
    <col min="2" max="2" width="12.19921875" style="735" customWidth="1"/>
    <col min="3" max="3" width="14.19921875" style="735" bestFit="1" customWidth="1"/>
    <col min="4" max="4" width="15.796875" style="735" bestFit="1" customWidth="1"/>
    <col min="5" max="5" width="1.53125" style="735" customWidth="1"/>
    <col min="6" max="6" width="13.86328125" style="735" customWidth="1"/>
    <col min="7" max="7" width="14.19921875" style="735" bestFit="1" customWidth="1"/>
    <col min="8" max="8" width="14.46484375" style="735" customWidth="1"/>
    <col min="9" max="9" width="1.796875" style="735" customWidth="1"/>
    <col min="10" max="10" width="15" style="735" customWidth="1"/>
    <col min="11" max="11" width="11.53125" style="735" bestFit="1" customWidth="1"/>
    <col min="12" max="12" width="15.796875" style="735" customWidth="1"/>
    <col min="13" max="13" width="1" style="735" customWidth="1"/>
    <col min="14" max="14" width="13.86328125" style="735" customWidth="1"/>
    <col min="15" max="15" width="11.6640625" style="735" customWidth="1"/>
    <col min="16" max="16" width="14.796875" style="735" customWidth="1"/>
    <col min="17" max="17" width="1.53125" style="735" customWidth="1"/>
    <col min="18" max="16384" width="10.86328125" style="735"/>
  </cols>
  <sheetData>
    <row r="1" spans="2:16" ht="13.9" thickBot="1"/>
    <row r="2" spans="2:16" ht="13.9" thickBot="1">
      <c r="B2" s="2197" t="s">
        <v>1147</v>
      </c>
      <c r="C2" s="2198"/>
      <c r="D2" s="2198"/>
      <c r="E2" s="2198"/>
      <c r="F2" s="2198"/>
      <c r="G2" s="2198"/>
      <c r="H2" s="2199"/>
    </row>
    <row r="4" spans="2:16">
      <c r="B4" s="735" t="s">
        <v>964</v>
      </c>
      <c r="F4" s="869">
        <v>40000000</v>
      </c>
    </row>
    <row r="5" spans="2:16">
      <c r="B5" s="735" t="s">
        <v>965</v>
      </c>
      <c r="F5" s="869">
        <v>50000000</v>
      </c>
    </row>
    <row r="6" spans="2:16">
      <c r="B6" s="735" t="s">
        <v>966</v>
      </c>
      <c r="F6" s="869">
        <v>30000000</v>
      </c>
    </row>
    <row r="7" spans="2:16" ht="13.9" thickBot="1">
      <c r="B7" s="735" t="s">
        <v>968</v>
      </c>
      <c r="F7" s="869">
        <f>300210000-30000000</f>
        <v>270210000</v>
      </c>
    </row>
    <row r="8" spans="2:16" ht="13.9" thickBot="1">
      <c r="C8" s="2145" t="s">
        <v>801</v>
      </c>
      <c r="D8" s="2147"/>
      <c r="F8" s="870">
        <f>SUM(F4:F7)</f>
        <v>390210000</v>
      </c>
    </row>
    <row r="10" spans="2:16" ht="27">
      <c r="B10" s="871" t="s">
        <v>1148</v>
      </c>
      <c r="C10" s="871" t="s">
        <v>1149</v>
      </c>
      <c r="D10" s="872" t="s">
        <v>1150</v>
      </c>
      <c r="F10" s="871" t="s">
        <v>1148</v>
      </c>
      <c r="G10" s="871" t="s">
        <v>1149</v>
      </c>
      <c r="H10" s="871" t="s">
        <v>1349</v>
      </c>
      <c r="J10" s="871" t="s">
        <v>1148</v>
      </c>
      <c r="K10" s="871" t="s">
        <v>1149</v>
      </c>
      <c r="L10" s="871" t="s">
        <v>1348</v>
      </c>
      <c r="N10" s="872" t="s">
        <v>1148</v>
      </c>
      <c r="O10" s="872" t="s">
        <v>1149</v>
      </c>
      <c r="P10" s="872" t="s">
        <v>1689</v>
      </c>
    </row>
    <row r="11" spans="2:16">
      <c r="B11" s="1103">
        <v>44226</v>
      </c>
      <c r="C11" s="1104">
        <v>1422532</v>
      </c>
      <c r="D11" s="1104">
        <v>11200000</v>
      </c>
      <c r="F11" s="873" t="s">
        <v>1691</v>
      </c>
      <c r="G11" s="874">
        <v>1422532</v>
      </c>
      <c r="H11" s="874">
        <v>8000000</v>
      </c>
      <c r="J11" s="873">
        <v>44925</v>
      </c>
      <c r="K11" s="874">
        <v>1422532</v>
      </c>
      <c r="L11" s="874">
        <v>1170000</v>
      </c>
      <c r="N11" s="875">
        <v>45290</v>
      </c>
      <c r="O11" s="876">
        <v>1422532</v>
      </c>
      <c r="P11" s="877">
        <v>170000</v>
      </c>
    </row>
    <row r="12" spans="2:16">
      <c r="B12" s="873" t="s">
        <v>1393</v>
      </c>
      <c r="C12" s="874">
        <v>1771044</v>
      </c>
      <c r="D12" s="1104">
        <v>11300000</v>
      </c>
      <c r="F12" s="873">
        <v>44650</v>
      </c>
      <c r="G12" s="874">
        <v>4744109</v>
      </c>
      <c r="H12" s="874">
        <v>13200000</v>
      </c>
      <c r="J12" s="873">
        <v>45071</v>
      </c>
      <c r="K12" s="874">
        <v>4913994</v>
      </c>
      <c r="L12" s="874">
        <v>90000000</v>
      </c>
      <c r="N12" s="875">
        <v>45595</v>
      </c>
      <c r="O12" s="876">
        <v>4913994</v>
      </c>
      <c r="P12" s="877">
        <v>15100000</v>
      </c>
    </row>
    <row r="13" spans="2:16">
      <c r="B13" s="873">
        <v>44469</v>
      </c>
      <c r="C13" s="874">
        <v>4913994</v>
      </c>
      <c r="D13" s="1104">
        <v>11400000</v>
      </c>
      <c r="F13" s="873">
        <v>44711</v>
      </c>
      <c r="G13" s="874">
        <v>4913994</v>
      </c>
      <c r="H13" s="874">
        <v>11150000</v>
      </c>
      <c r="J13" s="873">
        <v>45199</v>
      </c>
      <c r="K13" s="874">
        <v>5398705</v>
      </c>
      <c r="L13" s="874">
        <v>1200000</v>
      </c>
      <c r="N13" s="875">
        <v>45321</v>
      </c>
      <c r="O13" s="876">
        <v>53003850</v>
      </c>
      <c r="P13" s="877">
        <v>11500000</v>
      </c>
    </row>
    <row r="14" spans="2:16">
      <c r="B14" s="873">
        <v>44346</v>
      </c>
      <c r="C14" s="874">
        <v>5712849</v>
      </c>
      <c r="D14" s="1104">
        <v>11350000</v>
      </c>
      <c r="F14" s="873">
        <v>44772</v>
      </c>
      <c r="G14" s="874">
        <v>77113090</v>
      </c>
      <c r="H14" s="874">
        <v>11200000</v>
      </c>
      <c r="J14" s="873">
        <v>45158</v>
      </c>
      <c r="K14" s="874">
        <v>6868560</v>
      </c>
      <c r="L14" s="874">
        <v>1250000</v>
      </c>
      <c r="N14" s="875">
        <v>45412</v>
      </c>
      <c r="O14" s="876">
        <v>6874129</v>
      </c>
      <c r="P14" s="877">
        <v>1350000</v>
      </c>
    </row>
    <row r="15" spans="2:16">
      <c r="B15" s="873">
        <v>44428</v>
      </c>
      <c r="C15" s="874">
        <v>77113090</v>
      </c>
      <c r="D15" s="1104">
        <v>11300000</v>
      </c>
      <c r="F15" s="873">
        <v>44701</v>
      </c>
      <c r="G15" s="874">
        <v>8637441</v>
      </c>
      <c r="H15" s="874">
        <v>12120000</v>
      </c>
      <c r="J15" s="873">
        <v>45290</v>
      </c>
      <c r="K15" s="874">
        <v>76563090</v>
      </c>
      <c r="L15" s="874">
        <v>1500000</v>
      </c>
      <c r="N15" s="875">
        <v>45473</v>
      </c>
      <c r="O15" s="876">
        <v>76563090</v>
      </c>
      <c r="P15" s="877">
        <v>11300000</v>
      </c>
    </row>
    <row r="16" spans="2:16">
      <c r="B16" s="873">
        <v>44397</v>
      </c>
      <c r="C16" s="874">
        <v>77148040</v>
      </c>
      <c r="D16" s="1104">
        <v>11400000</v>
      </c>
      <c r="F16" s="873">
        <v>44793</v>
      </c>
      <c r="G16" s="874">
        <v>78197490</v>
      </c>
      <c r="H16" s="874">
        <v>75000000</v>
      </c>
      <c r="J16" s="873">
        <v>45071</v>
      </c>
      <c r="K16" s="874">
        <v>77113090</v>
      </c>
      <c r="L16" s="874">
        <v>11100000</v>
      </c>
      <c r="N16" s="875">
        <v>45524</v>
      </c>
      <c r="O16" s="876">
        <v>77113090</v>
      </c>
      <c r="P16" s="877">
        <v>1550000</v>
      </c>
    </row>
    <row r="17" spans="2:16">
      <c r="B17" s="873">
        <v>44555</v>
      </c>
      <c r="C17" s="874">
        <v>78370090</v>
      </c>
      <c r="D17" s="1104">
        <v>12350000</v>
      </c>
      <c r="F17" s="873">
        <v>44890</v>
      </c>
      <c r="G17" s="874">
        <v>90635000</v>
      </c>
      <c r="H17" s="874">
        <v>13280000</v>
      </c>
      <c r="J17" s="873">
        <v>45102</v>
      </c>
      <c r="K17" s="874">
        <v>78197490</v>
      </c>
      <c r="L17" s="874">
        <v>25000000</v>
      </c>
      <c r="N17" s="875">
        <v>45555</v>
      </c>
      <c r="O17" s="876">
        <v>77148040</v>
      </c>
      <c r="P17" s="877">
        <v>11840000</v>
      </c>
    </row>
    <row r="18" spans="2:16">
      <c r="B18" s="873">
        <v>44469</v>
      </c>
      <c r="C18" s="874">
        <v>78197490</v>
      </c>
      <c r="D18" s="1104">
        <v>114040000</v>
      </c>
      <c r="F18" s="873">
        <v>44834</v>
      </c>
      <c r="G18" s="874">
        <v>90703000</v>
      </c>
      <c r="H18" s="874">
        <v>13300000</v>
      </c>
      <c r="J18" s="873">
        <v>45229</v>
      </c>
      <c r="K18" s="874">
        <v>78370090</v>
      </c>
      <c r="L18" s="874">
        <v>65000000</v>
      </c>
      <c r="N18" s="875">
        <v>45285</v>
      </c>
      <c r="O18" s="876">
        <v>78370090</v>
      </c>
      <c r="P18" s="877">
        <v>111300000</v>
      </c>
    </row>
    <row r="19" spans="2:16">
      <c r="B19" s="873">
        <v>44195</v>
      </c>
      <c r="C19" s="874">
        <v>8637441</v>
      </c>
      <c r="D19" s="1104">
        <v>11120000</v>
      </c>
      <c r="F19" s="873">
        <v>44560</v>
      </c>
      <c r="G19" s="874">
        <v>96869690</v>
      </c>
      <c r="H19" s="874">
        <v>11120000</v>
      </c>
      <c r="J19" s="873">
        <v>45290</v>
      </c>
      <c r="K19" s="874">
        <v>78536950</v>
      </c>
      <c r="L19" s="874">
        <v>14400000</v>
      </c>
      <c r="N19" s="875">
        <v>45656</v>
      </c>
      <c r="O19" s="876">
        <v>90635000</v>
      </c>
      <c r="P19" s="877">
        <v>1100000</v>
      </c>
    </row>
    <row r="20" spans="2:16">
      <c r="B20" s="873">
        <v>44591</v>
      </c>
      <c r="C20" s="874">
        <v>90703000</v>
      </c>
      <c r="D20" s="1104">
        <v>12600000</v>
      </c>
      <c r="F20" s="873" t="s">
        <v>1692</v>
      </c>
      <c r="G20" s="874">
        <v>92580000</v>
      </c>
      <c r="H20" s="874">
        <v>21560000</v>
      </c>
      <c r="J20" s="873">
        <v>45321</v>
      </c>
      <c r="K20" s="874">
        <v>8637441</v>
      </c>
      <c r="L20" s="874">
        <v>12120000</v>
      </c>
      <c r="N20" s="875">
        <v>45687</v>
      </c>
      <c r="O20" s="876">
        <v>78197490</v>
      </c>
      <c r="P20" s="877">
        <v>112440000</v>
      </c>
    </row>
    <row r="21" spans="2:16">
      <c r="B21" s="873">
        <v>44681</v>
      </c>
      <c r="C21" s="874">
        <v>96869690</v>
      </c>
      <c r="D21" s="1104">
        <v>13300000</v>
      </c>
      <c r="F21" s="873">
        <v>44956</v>
      </c>
      <c r="G21" s="874">
        <v>93666000</v>
      </c>
      <c r="H21" s="874">
        <v>11240000</v>
      </c>
      <c r="J21" s="873">
        <v>45321</v>
      </c>
      <c r="K21" s="874">
        <v>82623500</v>
      </c>
      <c r="L21" s="874">
        <v>1540000</v>
      </c>
      <c r="N21" s="875">
        <v>45708</v>
      </c>
      <c r="O21" s="876">
        <v>92580000</v>
      </c>
      <c r="P21" s="877">
        <v>112560000</v>
      </c>
    </row>
    <row r="22" spans="2:16">
      <c r="B22" s="2200" t="s">
        <v>1151</v>
      </c>
      <c r="C22" s="2200"/>
      <c r="D22" s="1058">
        <f>SUM(D11:D21)</f>
        <v>231360000</v>
      </c>
      <c r="F22" s="2200" t="s">
        <v>1350</v>
      </c>
      <c r="G22" s="2200"/>
      <c r="H22" s="878">
        <f>SUM(H11:H21)</f>
        <v>201170000</v>
      </c>
      <c r="J22" s="2200" t="s">
        <v>1351</v>
      </c>
      <c r="K22" s="2200"/>
      <c r="L22" s="878">
        <f>SUM(L11:L21)</f>
        <v>224280000</v>
      </c>
      <c r="N22" s="2213" t="s">
        <v>1690</v>
      </c>
      <c r="O22" s="2213"/>
      <c r="P22" s="878">
        <f>SUM(P11:P21)</f>
        <v>390210000</v>
      </c>
    </row>
    <row r="23" spans="2:16" ht="13.9" thickBot="1"/>
    <row r="24" spans="2:16">
      <c r="B24" s="2204" t="s">
        <v>1694</v>
      </c>
      <c r="C24" s="2205"/>
      <c r="D24" s="2205"/>
      <c r="E24" s="2205"/>
      <c r="F24" s="2205"/>
      <c r="G24" s="2205"/>
      <c r="H24" s="2205"/>
      <c r="I24" s="2205"/>
      <c r="J24" s="2205"/>
      <c r="K24" s="2205"/>
      <c r="L24" s="2206"/>
    </row>
    <row r="25" spans="2:16">
      <c r="B25" s="2207"/>
      <c r="C25" s="2208"/>
      <c r="D25" s="2208"/>
      <c r="E25" s="2208"/>
      <c r="F25" s="2208"/>
      <c r="G25" s="2208"/>
      <c r="H25" s="2208"/>
      <c r="I25" s="2208"/>
      <c r="J25" s="2208"/>
      <c r="K25" s="2208"/>
      <c r="L25" s="2209"/>
    </row>
    <row r="26" spans="2:16" ht="13.9" thickBot="1">
      <c r="B26" s="2210"/>
      <c r="C26" s="2211"/>
      <c r="D26" s="2211"/>
      <c r="E26" s="2211"/>
      <c r="F26" s="2211"/>
      <c r="G26" s="2211"/>
      <c r="H26" s="2211"/>
      <c r="I26" s="2211"/>
      <c r="J26" s="2211"/>
      <c r="K26" s="2211"/>
      <c r="L26" s="2212"/>
    </row>
    <row r="27" spans="2:16" ht="13.9" thickBot="1"/>
    <row r="28" spans="2:16" ht="13.9" thickBot="1">
      <c r="B28" s="2201" t="s">
        <v>1152</v>
      </c>
      <c r="C28" s="2202"/>
      <c r="D28" s="2202"/>
      <c r="E28" s="2202"/>
      <c r="F28" s="2202"/>
      <c r="G28" s="2202"/>
      <c r="H28" s="2203"/>
    </row>
    <row r="30" spans="2:16" ht="27">
      <c r="B30" s="879" t="s">
        <v>1148</v>
      </c>
      <c r="C30" s="879" t="s">
        <v>1149</v>
      </c>
      <c r="D30" s="879" t="s">
        <v>1150</v>
      </c>
      <c r="F30" s="879" t="s">
        <v>1148</v>
      </c>
      <c r="G30" s="879" t="s">
        <v>1149</v>
      </c>
      <c r="H30" s="879" t="s">
        <v>1349</v>
      </c>
      <c r="J30" s="879" t="s">
        <v>1148</v>
      </c>
      <c r="K30" s="879" t="s">
        <v>1149</v>
      </c>
      <c r="L30" s="879" t="s">
        <v>1348</v>
      </c>
      <c r="N30" s="879" t="s">
        <v>1148</v>
      </c>
      <c r="O30" s="879" t="s">
        <v>1149</v>
      </c>
      <c r="P30" s="879" t="s">
        <v>1689</v>
      </c>
    </row>
    <row r="31" spans="2:16">
      <c r="B31" s="873"/>
      <c r="C31" s="874"/>
      <c r="D31" s="874"/>
      <c r="F31" s="873"/>
      <c r="G31" s="874"/>
      <c r="H31" s="874"/>
      <c r="J31" s="873"/>
      <c r="K31" s="874"/>
      <c r="L31" s="874"/>
      <c r="N31" s="880"/>
      <c r="O31" s="802"/>
      <c r="P31" s="881"/>
    </row>
    <row r="32" spans="2:16">
      <c r="B32" s="873"/>
      <c r="C32" s="874"/>
      <c r="D32" s="874"/>
      <c r="F32" s="873"/>
      <c r="G32" s="874"/>
      <c r="H32" s="874"/>
      <c r="J32" s="873"/>
      <c r="K32" s="874"/>
      <c r="L32" s="874"/>
      <c r="N32" s="880"/>
      <c r="O32" s="802"/>
      <c r="P32" s="881"/>
    </row>
    <row r="33" spans="2:16">
      <c r="B33" s="873"/>
      <c r="C33" s="874"/>
      <c r="D33" s="874"/>
      <c r="F33" s="873"/>
      <c r="G33" s="874"/>
      <c r="H33" s="874"/>
      <c r="J33" s="873"/>
      <c r="K33" s="874"/>
      <c r="L33" s="874"/>
      <c r="N33" s="880"/>
      <c r="O33" s="802"/>
      <c r="P33" s="881"/>
    </row>
    <row r="34" spans="2:16">
      <c r="B34" s="873"/>
      <c r="C34" s="874"/>
      <c r="D34" s="874"/>
      <c r="F34" s="873"/>
      <c r="G34" s="874"/>
      <c r="H34" s="874"/>
      <c r="J34" s="873"/>
      <c r="K34" s="874"/>
      <c r="L34" s="874"/>
      <c r="N34" s="880"/>
      <c r="O34" s="802"/>
      <c r="P34" s="881"/>
    </row>
    <row r="35" spans="2:16">
      <c r="B35" s="873"/>
      <c r="C35" s="874"/>
      <c r="D35" s="874"/>
      <c r="F35" s="873"/>
      <c r="G35" s="874"/>
      <c r="H35" s="874"/>
      <c r="J35" s="873"/>
      <c r="K35" s="874"/>
      <c r="L35" s="874"/>
      <c r="N35" s="880"/>
      <c r="O35" s="802"/>
      <c r="P35" s="881"/>
    </row>
    <row r="36" spans="2:16">
      <c r="B36" s="873"/>
      <c r="C36" s="874"/>
      <c r="D36" s="874"/>
      <c r="F36" s="873"/>
      <c r="G36" s="874"/>
      <c r="H36" s="874"/>
      <c r="J36" s="873"/>
      <c r="K36" s="874"/>
      <c r="L36" s="874"/>
      <c r="N36" s="880"/>
      <c r="O36" s="802"/>
      <c r="P36" s="881"/>
    </row>
    <row r="37" spans="2:16">
      <c r="B37" s="873"/>
      <c r="C37" s="874"/>
      <c r="D37" s="874"/>
      <c r="F37" s="873"/>
      <c r="G37" s="874"/>
      <c r="H37" s="874"/>
      <c r="J37" s="873"/>
      <c r="K37" s="874"/>
      <c r="L37" s="874"/>
      <c r="N37" s="880"/>
      <c r="O37" s="802"/>
      <c r="P37" s="881"/>
    </row>
    <row r="38" spans="2:16">
      <c r="B38" s="873"/>
      <c r="C38" s="874"/>
      <c r="D38" s="874"/>
      <c r="F38" s="873"/>
      <c r="G38" s="874"/>
      <c r="H38" s="874"/>
      <c r="J38" s="873"/>
      <c r="K38" s="874"/>
      <c r="L38" s="874"/>
      <c r="N38" s="880"/>
      <c r="O38" s="802"/>
      <c r="P38" s="881"/>
    </row>
    <row r="39" spans="2:16">
      <c r="B39" s="873"/>
      <c r="C39" s="874"/>
      <c r="D39" s="874"/>
      <c r="F39" s="873"/>
      <c r="G39" s="874"/>
      <c r="H39" s="874"/>
      <c r="J39" s="873"/>
      <c r="K39" s="874"/>
      <c r="L39" s="874"/>
      <c r="N39" s="880"/>
      <c r="O39" s="802"/>
      <c r="P39" s="881"/>
    </row>
    <row r="40" spans="2:16">
      <c r="B40" s="873"/>
      <c r="C40" s="874"/>
      <c r="D40" s="874"/>
      <c r="F40" s="873"/>
      <c r="G40" s="874"/>
      <c r="H40" s="874"/>
      <c r="J40" s="873"/>
      <c r="K40" s="874"/>
      <c r="L40" s="874"/>
      <c r="N40" s="880"/>
      <c r="O40" s="802"/>
      <c r="P40" s="881"/>
    </row>
    <row r="41" spans="2:16">
      <c r="B41" s="873"/>
      <c r="C41" s="874"/>
      <c r="D41" s="874"/>
      <c r="F41" s="873"/>
      <c r="G41" s="874"/>
      <c r="H41" s="874"/>
      <c r="J41" s="873"/>
      <c r="K41" s="874"/>
      <c r="L41" s="874"/>
      <c r="N41" s="880"/>
      <c r="O41" s="802"/>
      <c r="P41" s="881"/>
    </row>
    <row r="42" spans="2:16" ht="14.55" customHeight="1">
      <c r="B42" s="2200" t="s">
        <v>1693</v>
      </c>
      <c r="C42" s="2200"/>
      <c r="D42" s="878">
        <f>SUM(D31:D41)</f>
        <v>0</v>
      </c>
      <c r="F42" s="1105" t="s">
        <v>1350</v>
      </c>
      <c r="G42" s="1105"/>
      <c r="H42" s="878">
        <f>SUM(H31:H41)</f>
        <v>0</v>
      </c>
      <c r="J42" s="1105" t="s">
        <v>1351</v>
      </c>
      <c r="K42" s="1105"/>
      <c r="L42" s="878">
        <f>SUM(L31:L41)</f>
        <v>0</v>
      </c>
      <c r="N42" s="1106" t="s">
        <v>1690</v>
      </c>
      <c r="O42" s="1106"/>
      <c r="P42" s="882">
        <f>SUM(P31:P41)</f>
        <v>0</v>
      </c>
    </row>
    <row r="44" spans="2:16" ht="13.9" thickBot="1"/>
    <row r="45" spans="2:16" ht="13.9" thickBot="1">
      <c r="B45" s="2201" t="s">
        <v>1153</v>
      </c>
      <c r="C45" s="2202"/>
      <c r="D45" s="2202"/>
      <c r="E45" s="2202"/>
      <c r="F45" s="2202"/>
      <c r="G45" s="2202"/>
      <c r="H45" s="2203"/>
    </row>
  </sheetData>
  <mergeCells count="10">
    <mergeCell ref="B45:H45"/>
    <mergeCell ref="B24:L26"/>
    <mergeCell ref="B28:H28"/>
    <mergeCell ref="B42:C42"/>
    <mergeCell ref="N22:O22"/>
    <mergeCell ref="B2:H2"/>
    <mergeCell ref="C8:D8"/>
    <mergeCell ref="B22:C22"/>
    <mergeCell ref="F22:G22"/>
    <mergeCell ref="J22:K2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B05B-0BA6-4516-A5E3-37366A2A6350}">
  <dimension ref="A2:L40"/>
  <sheetViews>
    <sheetView workbookViewId="0">
      <selection activeCell="B9" sqref="B9:B10"/>
    </sheetView>
  </sheetViews>
  <sheetFormatPr baseColWidth="10" defaultColWidth="10.86328125" defaultRowHeight="15"/>
  <cols>
    <col min="1" max="1" width="7.53125" style="1450" customWidth="1"/>
    <col min="2" max="2" width="27.796875" style="1450" customWidth="1"/>
    <col min="3" max="3" width="6.6640625" style="1450" customWidth="1"/>
    <col min="4" max="4" width="21.796875" style="1450" bestFit="1" customWidth="1"/>
    <col min="5" max="5" width="2.53125" style="1450" customWidth="1"/>
    <col min="6" max="7" width="17.796875" style="1449" customWidth="1"/>
    <col min="8" max="12" width="17.796875" style="1450" customWidth="1"/>
    <col min="13" max="16384" width="10.86328125" style="1450"/>
  </cols>
  <sheetData>
    <row r="2" spans="1:12">
      <c r="A2" s="2214" t="s">
        <v>1695</v>
      </c>
      <c r="B2" s="2214"/>
      <c r="C2" s="2214"/>
      <c r="D2" s="2214"/>
      <c r="E2" s="1448"/>
    </row>
    <row r="3" spans="1:12" ht="15.4" thickBot="1"/>
    <row r="4" spans="1:12">
      <c r="B4" s="2215" t="s">
        <v>1319</v>
      </c>
      <c r="C4" s="2216"/>
      <c r="D4" s="2216"/>
      <c r="E4" s="2216"/>
      <c r="F4" s="2216"/>
      <c r="G4" s="2216"/>
      <c r="H4" s="2217"/>
    </row>
    <row r="5" spans="1:12">
      <c r="B5" s="2218"/>
      <c r="C5" s="2106"/>
      <c r="D5" s="2106"/>
      <c r="E5" s="2106"/>
      <c r="F5" s="2106"/>
      <c r="G5" s="2106"/>
      <c r="H5" s="2219"/>
    </row>
    <row r="6" spans="1:12">
      <c r="B6" s="2218"/>
      <c r="C6" s="2106"/>
      <c r="D6" s="2106"/>
      <c r="E6" s="2106"/>
      <c r="F6" s="2106"/>
      <c r="G6" s="2106"/>
      <c r="H6" s="2219"/>
    </row>
    <row r="7" spans="1:12" ht="15.4" thickBot="1">
      <c r="B7" s="2220"/>
      <c r="C7" s="2221"/>
      <c r="D7" s="2221"/>
      <c r="E7" s="2221"/>
      <c r="F7" s="2221"/>
      <c r="G7" s="2221"/>
      <c r="H7" s="2222"/>
    </row>
    <row r="9" spans="1:12">
      <c r="A9" s="2223" t="s">
        <v>1102</v>
      </c>
      <c r="B9" s="2225" t="s">
        <v>1052</v>
      </c>
      <c r="C9" s="1451"/>
      <c r="D9" s="2227" t="s">
        <v>1320</v>
      </c>
      <c r="E9" s="1452"/>
      <c r="F9" s="1453" t="s">
        <v>1061</v>
      </c>
      <c r="G9" s="1454" t="s">
        <v>1321</v>
      </c>
      <c r="H9" s="1454" t="s">
        <v>1322</v>
      </c>
      <c r="I9" s="1454" t="s">
        <v>1323</v>
      </c>
      <c r="J9" s="1454" t="s">
        <v>1324</v>
      </c>
      <c r="K9" s="1454" t="s">
        <v>1325</v>
      </c>
      <c r="L9" s="1454" t="s">
        <v>1326</v>
      </c>
    </row>
    <row r="10" spans="1:12">
      <c r="A10" s="2224"/>
      <c r="B10" s="2226"/>
      <c r="C10" s="1451"/>
      <c r="D10" s="2227"/>
      <c r="E10" s="1452"/>
      <c r="F10" s="1453" t="s">
        <v>1638</v>
      </c>
      <c r="G10" s="1455">
        <v>2025</v>
      </c>
      <c r="H10" s="1455">
        <v>2026</v>
      </c>
      <c r="I10" s="1455">
        <v>2027</v>
      </c>
      <c r="J10" s="1455">
        <v>2028</v>
      </c>
      <c r="K10" s="1455">
        <v>2029</v>
      </c>
      <c r="L10" s="1455">
        <v>2030</v>
      </c>
    </row>
    <row r="11" spans="1:12">
      <c r="A11" s="1456">
        <v>1</v>
      </c>
      <c r="B11" s="1457" t="s">
        <v>1327</v>
      </c>
      <c r="C11" s="1424"/>
      <c r="D11" s="1458">
        <v>46388</v>
      </c>
      <c r="E11" s="1459"/>
      <c r="F11" s="1460">
        <v>9000000</v>
      </c>
      <c r="G11" s="1461"/>
      <c r="H11" s="819"/>
      <c r="I11" s="819"/>
      <c r="J11" s="819"/>
      <c r="K11" s="819"/>
      <c r="L11" s="819"/>
    </row>
    <row r="12" spans="1:12">
      <c r="A12" s="1456">
        <v>2</v>
      </c>
      <c r="B12" s="1457" t="s">
        <v>1328</v>
      </c>
      <c r="C12" s="1424"/>
      <c r="D12" s="1458">
        <v>46023</v>
      </c>
      <c r="E12" s="1459"/>
      <c r="F12" s="1460">
        <v>15000000</v>
      </c>
      <c r="G12" s="1461"/>
      <c r="H12" s="819"/>
      <c r="I12" s="819"/>
      <c r="J12" s="819"/>
      <c r="K12" s="819"/>
      <c r="L12" s="819"/>
    </row>
    <row r="13" spans="1:12">
      <c r="A13" s="1456">
        <v>3</v>
      </c>
      <c r="B13" s="1457" t="s">
        <v>1352</v>
      </c>
      <c r="C13" s="1424"/>
      <c r="D13" s="1458">
        <v>46023</v>
      </c>
      <c r="E13" s="1459"/>
      <c r="F13" s="1460">
        <v>21000000</v>
      </c>
      <c r="G13" s="1461"/>
      <c r="H13" s="819"/>
      <c r="I13" s="819"/>
      <c r="J13" s="819"/>
      <c r="K13" s="819"/>
      <c r="L13" s="819"/>
    </row>
    <row r="14" spans="1:12">
      <c r="A14" s="1456">
        <v>4</v>
      </c>
      <c r="B14" s="1457" t="s">
        <v>1329</v>
      </c>
      <c r="C14" s="1424"/>
      <c r="D14" s="1458">
        <v>45658</v>
      </c>
      <c r="E14" s="1459"/>
      <c r="F14" s="1460">
        <v>5000000</v>
      </c>
      <c r="G14" s="1461"/>
      <c r="H14" s="819"/>
      <c r="I14" s="819"/>
      <c r="J14" s="819"/>
      <c r="K14" s="819"/>
      <c r="L14" s="819"/>
    </row>
    <row r="15" spans="1:12">
      <c r="A15" s="1456">
        <v>5</v>
      </c>
      <c r="B15" s="1457" t="s">
        <v>1330</v>
      </c>
      <c r="C15" s="1424"/>
      <c r="D15" s="1458">
        <v>45292</v>
      </c>
      <c r="E15" s="1459"/>
      <c r="F15" s="1460">
        <v>4000000</v>
      </c>
      <c r="G15" s="1461"/>
      <c r="H15" s="819"/>
      <c r="I15" s="819"/>
      <c r="J15" s="819"/>
      <c r="K15" s="819"/>
      <c r="L15" s="819"/>
    </row>
    <row r="16" spans="1:12">
      <c r="A16" s="1456">
        <v>6</v>
      </c>
      <c r="B16" s="1457" t="s">
        <v>1331</v>
      </c>
      <c r="C16" s="1424"/>
      <c r="D16" s="1458">
        <v>46388</v>
      </c>
      <c r="E16" s="1459"/>
      <c r="F16" s="1460">
        <v>24000000</v>
      </c>
      <c r="G16" s="1461"/>
      <c r="H16" s="819"/>
      <c r="I16" s="819"/>
      <c r="J16" s="819"/>
      <c r="K16" s="819"/>
      <c r="L16" s="819"/>
    </row>
    <row r="17" spans="1:12">
      <c r="A17" s="1456">
        <v>7</v>
      </c>
      <c r="B17" s="1457" t="s">
        <v>1332</v>
      </c>
      <c r="C17" s="1424"/>
      <c r="D17" s="1458">
        <v>45292</v>
      </c>
      <c r="E17" s="1459"/>
      <c r="F17" s="1460">
        <v>15000000</v>
      </c>
      <c r="G17" s="1461"/>
      <c r="H17" s="819"/>
      <c r="I17" s="819"/>
      <c r="J17" s="819"/>
      <c r="K17" s="819"/>
      <c r="L17" s="819"/>
    </row>
    <row r="18" spans="1:12">
      <c r="A18" s="1456">
        <v>8</v>
      </c>
      <c r="B18" s="1457" t="s">
        <v>1333</v>
      </c>
      <c r="C18" s="1424"/>
      <c r="D18" s="1458">
        <v>46023</v>
      </c>
      <c r="E18" s="1459"/>
      <c r="F18" s="1460">
        <v>18000000</v>
      </c>
      <c r="G18" s="1461"/>
      <c r="H18" s="819"/>
      <c r="I18" s="819"/>
      <c r="J18" s="819"/>
      <c r="K18" s="819"/>
      <c r="L18" s="819"/>
    </row>
    <row r="19" spans="1:12">
      <c r="A19" s="1456">
        <v>9</v>
      </c>
      <c r="B19" s="1457" t="s">
        <v>1334</v>
      </c>
      <c r="C19" s="1463"/>
      <c r="D19" s="1458">
        <v>45292</v>
      </c>
      <c r="E19" s="1459"/>
      <c r="F19" s="1460">
        <v>9000000</v>
      </c>
      <c r="G19" s="1461"/>
      <c r="H19" s="819"/>
      <c r="I19" s="819"/>
      <c r="J19" s="819"/>
      <c r="K19" s="819"/>
      <c r="L19" s="819"/>
    </row>
    <row r="20" spans="1:12">
      <c r="A20" s="1456">
        <v>10</v>
      </c>
      <c r="B20" s="1462" t="s">
        <v>1335</v>
      </c>
      <c r="C20" s="1463"/>
      <c r="D20" s="1458">
        <v>43466</v>
      </c>
      <c r="E20" s="1459"/>
      <c r="F20" s="1460">
        <v>4000000</v>
      </c>
      <c r="G20" s="1461"/>
      <c r="H20" s="819"/>
      <c r="I20" s="819"/>
      <c r="J20" s="819"/>
      <c r="K20" s="819"/>
      <c r="L20" s="819"/>
    </row>
    <row r="21" spans="1:12">
      <c r="D21" s="1464" t="s">
        <v>801</v>
      </c>
      <c r="E21" s="1169"/>
      <c r="F21" s="1465">
        <f>SUM(F11:F20)</f>
        <v>124000000</v>
      </c>
      <c r="G21" s="1466"/>
      <c r="H21" s="1466"/>
      <c r="I21" s="1466"/>
      <c r="J21" s="1466"/>
      <c r="K21" s="1466"/>
      <c r="L21" s="1466"/>
    </row>
    <row r="23" spans="1:12">
      <c r="A23" s="1464" t="s">
        <v>1336</v>
      </c>
      <c r="B23" s="1464" t="s">
        <v>1061</v>
      </c>
      <c r="C23" s="1169"/>
      <c r="D23" s="1464" t="s">
        <v>1337</v>
      </c>
    </row>
    <row r="24" spans="1:12">
      <c r="A24" s="1467">
        <v>1</v>
      </c>
      <c r="B24" s="1467"/>
      <c r="C24" s="1468"/>
      <c r="D24" s="1467"/>
    </row>
    <row r="25" spans="1:12">
      <c r="A25" s="1467">
        <v>2</v>
      </c>
      <c r="B25" s="1467"/>
      <c r="C25" s="1468"/>
      <c r="D25" s="1467"/>
    </row>
    <row r="26" spans="1:12">
      <c r="A26" s="1467">
        <v>3</v>
      </c>
      <c r="B26" s="1467"/>
      <c r="C26" s="1468"/>
      <c r="D26" s="1467"/>
    </row>
    <row r="27" spans="1:12">
      <c r="A27" s="1467">
        <v>4</v>
      </c>
      <c r="B27" s="1467"/>
      <c r="C27" s="1468"/>
      <c r="D27" s="1467"/>
    </row>
    <row r="28" spans="1:12">
      <c r="A28" s="1467">
        <v>5</v>
      </c>
      <c r="B28" s="1467"/>
      <c r="C28" s="1468"/>
      <c r="D28" s="1467"/>
    </row>
    <row r="29" spans="1:12">
      <c r="A29" s="1467">
        <v>6</v>
      </c>
      <c r="B29" s="1467"/>
      <c r="C29" s="1468"/>
      <c r="D29" s="1467"/>
    </row>
    <row r="30" spans="1:12">
      <c r="A30" s="1468"/>
      <c r="B30" s="1467"/>
      <c r="C30" s="1468"/>
      <c r="D30" s="819"/>
    </row>
    <row r="31" spans="1:12" ht="15.4" thickBot="1"/>
    <row r="32" spans="1:12" ht="15.4" thickBot="1">
      <c r="B32" s="2228" t="s">
        <v>1338</v>
      </c>
      <c r="C32" s="2228"/>
      <c r="D32" s="2229"/>
      <c r="E32" s="1469"/>
      <c r="F32" s="1470" t="s">
        <v>1473</v>
      </c>
      <c r="G32" s="1471" t="s">
        <v>1472</v>
      </c>
      <c r="H32" s="1472" t="s">
        <v>935</v>
      </c>
    </row>
    <row r="33" spans="1:8" ht="15.4" thickBot="1">
      <c r="F33" s="1473"/>
      <c r="G33" s="1474"/>
      <c r="H33" s="1475"/>
    </row>
    <row r="34" spans="1:8" ht="15.4" thickBot="1">
      <c r="F34" s="1075"/>
      <c r="G34" s="1075"/>
    </row>
    <row r="35" spans="1:8" ht="16.899999999999999" thickBot="1">
      <c r="A35" s="1425" t="s">
        <v>1055</v>
      </c>
      <c r="B35" s="2177" t="s">
        <v>1052</v>
      </c>
      <c r="C35" s="2112"/>
      <c r="D35" s="2112"/>
      <c r="E35" s="2113"/>
      <c r="F35" s="1426" t="s">
        <v>1056</v>
      </c>
      <c r="G35" s="1426" t="s">
        <v>1057</v>
      </c>
    </row>
    <row r="36" spans="1:8" ht="16.5">
      <c r="A36" s="723"/>
      <c r="B36" s="724" t="s">
        <v>1058</v>
      </c>
      <c r="C36" s="725"/>
      <c r="D36" s="725" t="s">
        <v>1058</v>
      </c>
      <c r="E36" s="726"/>
      <c r="F36" s="727"/>
      <c r="G36" s="728"/>
    </row>
    <row r="37" spans="1:8" ht="16.5">
      <c r="A37" s="723"/>
      <c r="B37" s="729"/>
      <c r="C37" s="709"/>
      <c r="D37" s="709"/>
      <c r="E37" s="730"/>
      <c r="F37" s="727"/>
      <c r="G37" s="728"/>
    </row>
    <row r="38" spans="1:8" ht="16.5">
      <c r="A38" s="723"/>
      <c r="B38" s="729"/>
      <c r="C38" s="709"/>
      <c r="D38" s="709"/>
      <c r="E38" s="730"/>
      <c r="F38" s="727"/>
      <c r="G38" s="728"/>
    </row>
    <row r="39" spans="1:8" ht="16.5">
      <c r="A39" s="723"/>
      <c r="B39" s="729" t="s">
        <v>1059</v>
      </c>
      <c r="C39" s="709"/>
      <c r="D39" s="709"/>
      <c r="E39" s="730"/>
      <c r="F39" s="727"/>
      <c r="G39" s="728"/>
    </row>
    <row r="40" spans="1:8" ht="16.899999999999999" thickBot="1">
      <c r="A40" s="731"/>
      <c r="B40" s="732"/>
      <c r="C40" s="733"/>
      <c r="D40" s="733"/>
      <c r="E40" s="734"/>
      <c r="F40" s="719"/>
      <c r="G40" s="720"/>
    </row>
  </sheetData>
  <mergeCells count="7">
    <mergeCell ref="B35:E35"/>
    <mergeCell ref="A2:D2"/>
    <mergeCell ref="B4:H7"/>
    <mergeCell ref="A9:A10"/>
    <mergeCell ref="B9:B10"/>
    <mergeCell ref="D9:D10"/>
    <mergeCell ref="B32:D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3AA7-53F6-46ED-BC7C-FF389E8B8963}">
  <sheetPr>
    <pageSetUpPr fitToPage="1"/>
  </sheetPr>
  <dimension ref="B1:T217"/>
  <sheetViews>
    <sheetView topLeftCell="G78" zoomScale="140" zoomScaleNormal="140" workbookViewId="0">
      <selection activeCell="L91" sqref="J88:L91"/>
    </sheetView>
  </sheetViews>
  <sheetFormatPr baseColWidth="10" defaultColWidth="10.86328125" defaultRowHeight="12.75"/>
  <cols>
    <col min="1" max="1" width="5.796875" style="656" customWidth="1"/>
    <col min="2" max="2" width="56.53125" style="656" customWidth="1"/>
    <col min="3" max="3" width="8.53125" style="1060" customWidth="1"/>
    <col min="4" max="4" width="15.53125" style="656" bestFit="1" customWidth="1"/>
    <col min="5" max="5" width="15.6640625" style="657" customWidth="1"/>
    <col min="6" max="6" width="16.6640625" style="657" bestFit="1" customWidth="1"/>
    <col min="7" max="7" width="10.86328125" style="657"/>
    <col min="8" max="8" width="49.19921875" style="656" customWidth="1"/>
    <col min="9" max="9" width="9.86328125" style="656" customWidth="1"/>
    <col min="10" max="10" width="16.1328125" style="656" bestFit="1" customWidth="1"/>
    <col min="11" max="11" width="15.6640625" style="657" customWidth="1"/>
    <col min="12" max="12" width="15.6640625" style="656" customWidth="1"/>
    <col min="13" max="13" width="5.796875" style="656" customWidth="1"/>
    <col min="14" max="17" width="10.86328125" style="656"/>
    <col min="18" max="18" width="14.46484375" style="656" bestFit="1" customWidth="1"/>
    <col min="19" max="20" width="12.86328125" style="656" bestFit="1" customWidth="1"/>
    <col min="21" max="16384" width="10.86328125" style="656"/>
  </cols>
  <sheetData>
    <row r="1" spans="2:12">
      <c r="B1" s="655" t="s">
        <v>934</v>
      </c>
      <c r="C1" s="1059" t="s">
        <v>805</v>
      </c>
    </row>
    <row r="2" spans="2:12">
      <c r="B2" s="655" t="s">
        <v>1637</v>
      </c>
      <c r="C2" s="1059"/>
    </row>
    <row r="3" spans="2:12">
      <c r="B3" s="655" t="s">
        <v>804</v>
      </c>
      <c r="C3" s="1059"/>
    </row>
    <row r="4" spans="2:12">
      <c r="B4" s="655" t="s">
        <v>1697</v>
      </c>
      <c r="C4" s="1059"/>
    </row>
    <row r="5" spans="2:12" ht="1.9" customHeight="1" thickBot="1"/>
    <row r="6" spans="2:12">
      <c r="B6" s="658"/>
      <c r="C6" s="1061"/>
      <c r="D6" s="1166" t="s">
        <v>1473</v>
      </c>
      <c r="E6" s="659"/>
      <c r="F6" s="1641" t="s">
        <v>1472</v>
      </c>
      <c r="H6" s="658"/>
      <c r="I6" s="660"/>
      <c r="J6" s="1166" t="s">
        <v>1473</v>
      </c>
      <c r="K6" s="659"/>
      <c r="L6" s="1641" t="s">
        <v>1472</v>
      </c>
    </row>
    <row r="7" spans="2:12">
      <c r="B7" s="661" t="s">
        <v>806</v>
      </c>
      <c r="C7" s="661" t="s">
        <v>935</v>
      </c>
      <c r="D7" s="661" t="s">
        <v>1638</v>
      </c>
      <c r="E7" s="662" t="s">
        <v>115</v>
      </c>
      <c r="F7" s="661" t="s">
        <v>1638</v>
      </c>
      <c r="H7" s="661" t="s">
        <v>806</v>
      </c>
      <c r="I7" s="663" t="s">
        <v>935</v>
      </c>
      <c r="J7" s="661" t="s">
        <v>1638</v>
      </c>
      <c r="K7" s="662" t="s">
        <v>115</v>
      </c>
      <c r="L7" s="661" t="s">
        <v>1638</v>
      </c>
    </row>
    <row r="8" spans="2:12" ht="13.15" thickBot="1">
      <c r="B8" s="664"/>
      <c r="C8" s="1062"/>
      <c r="D8" s="664"/>
      <c r="E8" s="665"/>
      <c r="F8" s="665"/>
      <c r="H8" s="664"/>
      <c r="I8" s="666"/>
      <c r="J8" s="664"/>
      <c r="K8" s="665"/>
      <c r="L8" s="667"/>
    </row>
    <row r="9" spans="2:12" ht="4.25" customHeight="1">
      <c r="B9" s="1483"/>
      <c r="C9" s="1797"/>
      <c r="D9" s="1483"/>
      <c r="E9" s="1150"/>
      <c r="F9" s="1150"/>
      <c r="H9" s="668"/>
      <c r="I9" s="670"/>
      <c r="J9" s="668"/>
      <c r="K9" s="669"/>
      <c r="L9" s="671"/>
    </row>
    <row r="10" spans="2:12">
      <c r="B10" s="672" t="s">
        <v>807</v>
      </c>
      <c r="C10" s="1064"/>
      <c r="D10" s="673"/>
      <c r="E10" s="674"/>
      <c r="F10" s="674"/>
      <c r="H10" s="672" t="s">
        <v>825</v>
      </c>
      <c r="I10" s="675"/>
      <c r="J10" s="672"/>
      <c r="K10" s="669"/>
      <c r="L10" s="676"/>
    </row>
    <row r="11" spans="2:12" ht="5.45" customHeight="1">
      <c r="B11" s="677"/>
      <c r="C11" s="1063"/>
      <c r="D11" s="668"/>
      <c r="E11" s="669"/>
      <c r="F11" s="669"/>
      <c r="H11" s="677"/>
      <c r="I11" s="670"/>
      <c r="J11" s="668"/>
      <c r="K11" s="669"/>
      <c r="L11" s="671"/>
    </row>
    <row r="12" spans="2:12">
      <c r="B12" s="672" t="s">
        <v>808</v>
      </c>
      <c r="C12" s="1064"/>
      <c r="D12" s="673"/>
      <c r="E12" s="674"/>
      <c r="F12" s="674"/>
      <c r="H12" s="672" t="s">
        <v>826</v>
      </c>
      <c r="I12" s="675"/>
      <c r="J12" s="672"/>
      <c r="K12" s="669"/>
      <c r="L12" s="676"/>
    </row>
    <row r="13" spans="2:12">
      <c r="B13" s="677"/>
      <c r="C13" s="1063"/>
      <c r="D13" s="668"/>
      <c r="E13" s="669"/>
      <c r="F13" s="669"/>
      <c r="H13" s="677"/>
      <c r="I13" s="670"/>
      <c r="J13" s="668"/>
      <c r="K13" s="669"/>
      <c r="L13" s="671"/>
    </row>
    <row r="14" spans="2:12">
      <c r="B14" s="678" t="str">
        <f>+'Bce 8 Columnas'!B7</f>
        <v xml:space="preserve">1-1-01-001 Caja </v>
      </c>
      <c r="C14" s="1065">
        <v>1</v>
      </c>
      <c r="D14" s="679">
        <f>+'Bce 8 Columnas'!C7</f>
        <v>50000000</v>
      </c>
      <c r="E14" s="674">
        <f>-'00 Ajustes Iniciales'!G13</f>
        <v>-15000000</v>
      </c>
      <c r="F14" s="674">
        <f>+D14+E14</f>
        <v>35000000</v>
      </c>
      <c r="H14" s="678" t="str">
        <f>+'Bce 8 Columnas'!B72</f>
        <v>2-1-01-001 Préstamos bancarios</v>
      </c>
      <c r="I14" s="680"/>
      <c r="J14" s="681">
        <f>+'Bce 8 Columnas'!D72</f>
        <v>420000000</v>
      </c>
      <c r="K14" s="669"/>
      <c r="L14" s="682">
        <f>+J14+K14</f>
        <v>420000000</v>
      </c>
    </row>
    <row r="15" spans="2:12">
      <c r="B15" s="678" t="str">
        <f>+'Bce 8 Columnas'!B8</f>
        <v>1-1-01-002 Caja Moneda Extranjera</v>
      </c>
      <c r="C15" s="1065"/>
      <c r="D15" s="679">
        <f>+'Bce 8 Columnas'!C8</f>
        <v>60000000</v>
      </c>
      <c r="E15" s="674"/>
      <c r="F15" s="674">
        <f t="shared" ref="F15:F21" si="0">+D15+E15</f>
        <v>60000000</v>
      </c>
      <c r="H15" s="678" t="str">
        <f>+'Bce 8 Columnas'!B73</f>
        <v>2-1-01-002 L.C. Operacional Banco Santander</v>
      </c>
      <c r="I15" s="1987" t="s">
        <v>1711</v>
      </c>
      <c r="J15" s="681">
        <f>+'Bce 8 Columnas'!D73</f>
        <v>40000000</v>
      </c>
      <c r="K15" s="669">
        <f>-'00 Ajustes Iniciales'!F39+'00 Ajustes Iniciales'!G79</f>
        <v>-24000000</v>
      </c>
      <c r="L15" s="682">
        <f t="shared" ref="L15" si="1">+J15+K15</f>
        <v>16000000</v>
      </c>
    </row>
    <row r="16" spans="2:12">
      <c r="B16" s="678" t="str">
        <f>+'Bce 8 Columnas'!B9</f>
        <v>1-1-01-003 Fondo Fijo</v>
      </c>
      <c r="C16" s="1065">
        <v>2</v>
      </c>
      <c r="D16" s="679">
        <f>+'Bce 8 Columnas'!C9</f>
        <v>1000000</v>
      </c>
      <c r="E16" s="674">
        <f>-'00 Ajustes Iniciales'!G27</f>
        <v>-700000</v>
      </c>
      <c r="F16" s="674">
        <f t="shared" si="0"/>
        <v>300000</v>
      </c>
      <c r="H16" s="678" t="str">
        <f>+'Bce 8 Columnas'!B74</f>
        <v>2-1-01-003 Obligación Banco Santander</v>
      </c>
      <c r="I16" s="680"/>
      <c r="J16" s="681">
        <f>+'Bce 8 Columnas'!D74</f>
        <v>120000000</v>
      </c>
      <c r="K16" s="669"/>
      <c r="L16" s="682">
        <f>+J16+K16</f>
        <v>120000000</v>
      </c>
    </row>
    <row r="17" spans="2:12">
      <c r="B17" s="678" t="str">
        <f>+'Bce 8 Columnas'!B10</f>
        <v>1-1-03-002 Banco Santander</v>
      </c>
      <c r="C17" s="1065">
        <v>3</v>
      </c>
      <c r="D17" s="679">
        <f>+'Bce 8 Columnas'!C10</f>
        <v>40000000</v>
      </c>
      <c r="E17" s="674">
        <f>-'00 Ajustes Iniciales'!G40</f>
        <v>-25000000</v>
      </c>
      <c r="F17" s="674">
        <f t="shared" si="0"/>
        <v>15000000</v>
      </c>
      <c r="H17" s="678" t="str">
        <f>+'Bce 8 Columnas'!B75</f>
        <v>2-1-01-004 Obligaciones por leasing</v>
      </c>
      <c r="I17" s="680"/>
      <c r="J17" s="681">
        <f>+'Bce 8 Columnas'!D75</f>
        <v>548449857</v>
      </c>
      <c r="K17" s="669"/>
      <c r="L17" s="682">
        <f>+J17+K17</f>
        <v>548449857</v>
      </c>
    </row>
    <row r="18" spans="2:12" ht="13.15" thickBot="1">
      <c r="B18" s="678" t="str">
        <f>+'Bce 8 Columnas'!B11</f>
        <v>1-1-03-002 Banco Chile moneda Extranjera</v>
      </c>
      <c r="C18" s="1065"/>
      <c r="D18" s="679">
        <f>+'Bce 8 Columnas'!C11</f>
        <v>50000000</v>
      </c>
      <c r="E18" s="674"/>
      <c r="F18" s="674">
        <f t="shared" si="0"/>
        <v>50000000</v>
      </c>
      <c r="H18" s="678" t="str">
        <f>+'Bce 8 Columnas'!B76</f>
        <v>2-1-01-005 Intereses Diferidos por Leasing</v>
      </c>
      <c r="I18" s="680"/>
      <c r="J18" s="681">
        <f>-'Bce 8 Columnas'!C76</f>
        <v>-189973221</v>
      </c>
      <c r="K18" s="669"/>
      <c r="L18" s="682">
        <f>+J18+K18</f>
        <v>-189973221</v>
      </c>
    </row>
    <row r="19" spans="2:12">
      <c r="B19" s="678" t="str">
        <f>+'Bce 8 Columnas'!B12</f>
        <v>1-1-03-006 Bancos Estado</v>
      </c>
      <c r="C19" s="1065">
        <v>1</v>
      </c>
      <c r="D19" s="679">
        <f>+'Bce 8 Columnas'!C12</f>
        <v>10000000</v>
      </c>
      <c r="E19" s="674">
        <f>+'00 Ajustes Iniciales'!F12</f>
        <v>15000000</v>
      </c>
      <c r="F19" s="674">
        <f t="shared" si="0"/>
        <v>25000000</v>
      </c>
      <c r="H19" s="672" t="s">
        <v>827</v>
      </c>
      <c r="I19" s="675"/>
      <c r="J19" s="683">
        <f>SUM(J14:J18)</f>
        <v>938476636</v>
      </c>
      <c r="K19" s="669"/>
      <c r="L19" s="684">
        <f>SUM(L14:L18)</f>
        <v>914476636</v>
      </c>
    </row>
    <row r="20" spans="2:12">
      <c r="B20" s="678" t="str">
        <f>+'Bce 8 Columnas'!B13</f>
        <v>1-1-03-007 Efectivo en transito</v>
      </c>
      <c r="C20" s="1065"/>
      <c r="D20" s="679">
        <f>+'Bce 8 Columnas'!C13</f>
        <v>2500000</v>
      </c>
      <c r="E20" s="674"/>
      <c r="F20" s="674">
        <f t="shared" si="0"/>
        <v>2500000</v>
      </c>
      <c r="H20" s="677"/>
      <c r="I20" s="670"/>
      <c r="J20" s="668"/>
      <c r="K20" s="669"/>
      <c r="L20" s="671"/>
    </row>
    <row r="21" spans="2:12" ht="13.15" thickBot="1">
      <c r="B21" s="678" t="str">
        <f>+'Bce 8 Columnas'!B14</f>
        <v>1-1-04-002 Depósitos a Plazo vencimiento 30 días</v>
      </c>
      <c r="C21" s="1065"/>
      <c r="D21" s="679">
        <f>+'Bce 8 Columnas'!C14</f>
        <v>120000000</v>
      </c>
      <c r="E21" s="674"/>
      <c r="F21" s="686">
        <f t="shared" si="0"/>
        <v>120000000</v>
      </c>
      <c r="H21" s="678" t="str">
        <f>+'Bce 8 Columnas'!B77</f>
        <v>2-1-03-001 Acreedores</v>
      </c>
      <c r="I21" s="1420">
        <v>7</v>
      </c>
      <c r="J21" s="681">
        <f>+'Bce 8 Columnas'!D77</f>
        <v>150000000</v>
      </c>
      <c r="K21" s="669">
        <f>-'00 Ajustes Iniciales'!F91</f>
        <v>-110000000</v>
      </c>
      <c r="L21" s="682">
        <f>+J21+K21</f>
        <v>40000000</v>
      </c>
    </row>
    <row r="22" spans="2:12">
      <c r="B22" s="672" t="s">
        <v>809</v>
      </c>
      <c r="C22" s="1064"/>
      <c r="D22" s="687">
        <f>SUM(D14:D21)</f>
        <v>333500000</v>
      </c>
      <c r="E22" s="674"/>
      <c r="F22" s="688">
        <f>SUM(F14:F21)</f>
        <v>307800000</v>
      </c>
      <c r="H22" s="678" t="str">
        <f>+'Bce 8 Columnas'!B78</f>
        <v>2-1-03-002 Proveedores</v>
      </c>
      <c r="I22" s="1420">
        <v>8</v>
      </c>
      <c r="J22" s="681">
        <f>+'Bce 8 Columnas'!D78</f>
        <v>300000000</v>
      </c>
      <c r="K22" s="669">
        <f>-'00 Ajustes Iniciales'!F104</f>
        <v>-180000000</v>
      </c>
      <c r="L22" s="682">
        <f t="shared" ref="L22:L27" si="2">+J22+K22</f>
        <v>120000000</v>
      </c>
    </row>
    <row r="23" spans="2:12">
      <c r="B23" s="677"/>
      <c r="C23" s="1063"/>
      <c r="D23" s="668"/>
      <c r="E23" s="669"/>
      <c r="F23" s="669"/>
      <c r="H23" s="678" t="str">
        <f>+'Bce 8 Columnas'!B79</f>
        <v xml:space="preserve">2-1-03-003 Provisión Gastos de luz, agua y telefono </v>
      </c>
      <c r="I23" s="680"/>
      <c r="J23" s="681">
        <f>+'Bce 8 Columnas'!D79</f>
        <v>5600000</v>
      </c>
      <c r="K23" s="669"/>
      <c r="L23" s="682">
        <f t="shared" si="2"/>
        <v>5600000</v>
      </c>
    </row>
    <row r="24" spans="2:12">
      <c r="B24" s="678" t="str">
        <f>+'Bce 8 Columnas'!B15</f>
        <v>1-1-04-004 Acciones Lan</v>
      </c>
      <c r="C24" s="1065"/>
      <c r="D24" s="679">
        <f>+'Bce 8 Columnas'!C15</f>
        <v>100000000</v>
      </c>
      <c r="E24" s="674"/>
      <c r="F24" s="674">
        <f t="shared" ref="F24:F27" si="3">+D24+E24</f>
        <v>100000000</v>
      </c>
      <c r="H24" s="678" t="str">
        <f>+'Bce 8 Columnas'!B80</f>
        <v>2-1-03-004 Provisión Gastos de Arriendo oficina</v>
      </c>
      <c r="I24" s="680"/>
      <c r="J24" s="681">
        <f>+'Bce 8 Columnas'!D80</f>
        <v>6324052</v>
      </c>
      <c r="K24" s="669"/>
      <c r="L24" s="682">
        <f t="shared" si="2"/>
        <v>6324052</v>
      </c>
    </row>
    <row r="25" spans="2:12">
      <c r="B25" s="678" t="str">
        <f>+'Bce 8 Columnas'!B16</f>
        <v>1-1-04-005 Acciones Tesla</v>
      </c>
      <c r="C25" s="1065"/>
      <c r="D25" s="679">
        <f>+'Bce 8 Columnas'!C16</f>
        <v>40000000</v>
      </c>
      <c r="E25" s="674"/>
      <c r="F25" s="674">
        <f t="shared" si="3"/>
        <v>40000000</v>
      </c>
      <c r="H25" s="678" t="str">
        <f>+'Bce 8 Columnas'!B81</f>
        <v>2-1-03-005 Provisión Servicios de Auditoria</v>
      </c>
      <c r="I25" s="680"/>
      <c r="J25" s="681">
        <f>+'Bce 8 Columnas'!D81</f>
        <v>2000000</v>
      </c>
      <c r="K25" s="669"/>
      <c r="L25" s="682">
        <f t="shared" si="2"/>
        <v>2000000</v>
      </c>
    </row>
    <row r="26" spans="2:12">
      <c r="B26" s="678" t="str">
        <f>+'Bce 8 Columnas'!B17</f>
        <v>1-1-04-006 Acciones Bitcoin</v>
      </c>
      <c r="C26" s="1065"/>
      <c r="D26" s="679">
        <f>+'Bce 8 Columnas'!C17</f>
        <v>80000000</v>
      </c>
      <c r="E26" s="674"/>
      <c r="F26" s="674">
        <f t="shared" si="3"/>
        <v>80000000</v>
      </c>
      <c r="H26" s="678" t="str">
        <f>+'Bce 8 Columnas'!B82</f>
        <v>2-1-03-006 PPM por Pagar</v>
      </c>
      <c r="I26" s="680"/>
      <c r="J26" s="681">
        <f>+'Bce 8 Columnas'!D82</f>
        <v>5000000</v>
      </c>
      <c r="K26" s="669"/>
      <c r="L26" s="682">
        <f t="shared" si="2"/>
        <v>5000000</v>
      </c>
    </row>
    <row r="27" spans="2:12">
      <c r="B27" s="678" t="str">
        <f>+'Bce 8 Columnas'!B18</f>
        <v>1-1-04-007 Acciones Cardano</v>
      </c>
      <c r="C27" s="1065"/>
      <c r="D27" s="679">
        <f>+'Bce 8 Columnas'!C18</f>
        <v>120000000</v>
      </c>
      <c r="E27" s="674"/>
      <c r="F27" s="674">
        <f t="shared" si="3"/>
        <v>120000000</v>
      </c>
      <c r="H27" s="678" t="str">
        <f>+'Bce 8 Columnas'!B83</f>
        <v>2-1-04-001 Provisión de Vacaciones</v>
      </c>
      <c r="I27" s="1420">
        <v>9</v>
      </c>
      <c r="J27" s="681">
        <f>+'Bce 8 Columnas'!D83</f>
        <v>35000000</v>
      </c>
      <c r="K27" s="669">
        <f>+'00 Ajustes Iniciales'!G118</f>
        <v>7000000</v>
      </c>
      <c r="L27" s="682">
        <f t="shared" si="2"/>
        <v>42000000</v>
      </c>
    </row>
    <row r="28" spans="2:12">
      <c r="B28" s="678" t="str">
        <f>+'Bce 8 Columnas'!B19</f>
        <v>1-1-05-007 Forward USD</v>
      </c>
      <c r="C28" s="1065"/>
      <c r="D28" s="679">
        <f>+'Bce 8 Columnas'!C19</f>
        <v>50540000</v>
      </c>
      <c r="E28" s="674"/>
      <c r="F28" s="674">
        <f>+D28+E28</f>
        <v>50540000</v>
      </c>
      <c r="H28" s="678"/>
      <c r="I28" s="1420"/>
      <c r="J28" s="681"/>
      <c r="K28" s="669"/>
      <c r="L28" s="682"/>
    </row>
    <row r="29" spans="2:12" ht="13.15" thickBot="1">
      <c r="B29" s="678" t="str">
        <f>+'Bce 8 Columnas'!B20</f>
        <v>1-1-04-003 Cuotas de Fondos Mutuos  180 días</v>
      </c>
      <c r="C29" s="1065"/>
      <c r="D29" s="679">
        <f>+'Bce 8 Columnas'!C20</f>
        <v>160000000</v>
      </c>
      <c r="E29" s="674"/>
      <c r="F29" s="686">
        <f>+D29+E29</f>
        <v>160000000</v>
      </c>
      <c r="H29" s="678"/>
      <c r="I29" s="1420"/>
      <c r="J29" s="681"/>
      <c r="K29" s="669"/>
      <c r="L29" s="682"/>
    </row>
    <row r="30" spans="2:12" ht="13.15" thickBot="1">
      <c r="B30" s="672" t="s">
        <v>810</v>
      </c>
      <c r="C30" s="1064"/>
      <c r="D30" s="687">
        <f>SUM(D24:D29)</f>
        <v>550540000</v>
      </c>
      <c r="E30" s="674"/>
      <c r="F30" s="688">
        <f>SUM(F24:F29)</f>
        <v>550540000</v>
      </c>
      <c r="H30" s="678"/>
      <c r="I30" s="1420"/>
      <c r="J30" s="681"/>
      <c r="K30" s="669"/>
      <c r="L30" s="682"/>
    </row>
    <row r="31" spans="2:12">
      <c r="B31" s="677"/>
      <c r="C31" s="1063"/>
      <c r="D31" s="668"/>
      <c r="E31" s="669"/>
      <c r="F31" s="669"/>
      <c r="H31" s="672" t="s">
        <v>828</v>
      </c>
      <c r="I31" s="675"/>
      <c r="J31" s="683">
        <f>SUM(J21:J30)</f>
        <v>503924052</v>
      </c>
      <c r="K31" s="669"/>
      <c r="L31" s="684">
        <f>SUM(L21:L30)</f>
        <v>220924052</v>
      </c>
    </row>
    <row r="32" spans="2:12">
      <c r="B32" s="678" t="str">
        <f>+'Bce 8 Columnas'!B21</f>
        <v>1-1-06-001 Garantías Otorgadas</v>
      </c>
      <c r="C32" s="1065"/>
      <c r="D32" s="679">
        <f>+'Bce 8 Columnas'!C21</f>
        <v>3000000</v>
      </c>
      <c r="E32" s="674"/>
      <c r="F32" s="674">
        <f>+D32+E32</f>
        <v>3000000</v>
      </c>
      <c r="H32" s="677"/>
      <c r="I32" s="670"/>
      <c r="J32" s="668"/>
      <c r="K32" s="669"/>
      <c r="L32" s="671"/>
    </row>
    <row r="33" spans="2:13">
      <c r="B33" s="678" t="str">
        <f>+'Bce 8 Columnas'!B22</f>
        <v>1-1-06-002 Boletas en Garantias</v>
      </c>
      <c r="C33" s="1065"/>
      <c r="D33" s="679">
        <f>+'Bce 8 Columnas'!C22</f>
        <v>4000000</v>
      </c>
      <c r="E33" s="674"/>
      <c r="F33" s="674">
        <f t="shared" ref="F33:F36" si="4">+D33+E33</f>
        <v>4000000</v>
      </c>
      <c r="H33" s="672" t="s">
        <v>829</v>
      </c>
      <c r="I33" s="675"/>
      <c r="J33" s="672">
        <v>0</v>
      </c>
      <c r="K33" s="669"/>
      <c r="L33" s="676">
        <f>+J33+K33</f>
        <v>0</v>
      </c>
    </row>
    <row r="34" spans="2:13">
      <c r="B34" s="678" t="str">
        <f>+'Bce 8 Columnas'!B23</f>
        <v>1-1-06-003 Gastos Anticipados por Arriendos Anticipados</v>
      </c>
      <c r="C34" s="1065"/>
      <c r="D34" s="679">
        <f>+'Bce 8 Columnas'!C23</f>
        <v>5000000</v>
      </c>
      <c r="E34" s="674"/>
      <c r="F34" s="674">
        <f t="shared" si="4"/>
        <v>5000000</v>
      </c>
      <c r="H34" s="677"/>
      <c r="I34" s="670"/>
      <c r="J34" s="668"/>
      <c r="K34" s="669"/>
      <c r="L34" s="671"/>
    </row>
    <row r="35" spans="2:13">
      <c r="B35" s="678" t="str">
        <f>+'Bce 8 Columnas'!B24</f>
        <v>1-1-06-004 Gastos Anticipados Acceso a Internet</v>
      </c>
      <c r="C35" s="1065"/>
      <c r="D35" s="679">
        <f>+'Bce 8 Columnas'!C24</f>
        <v>5000000</v>
      </c>
      <c r="E35" s="674"/>
      <c r="F35" s="674">
        <f t="shared" si="4"/>
        <v>5000000</v>
      </c>
      <c r="H35" s="678" t="str">
        <f>+'Bce 8 Columnas'!B84</f>
        <v>2-1-05-001 Provisión Terremoto</v>
      </c>
      <c r="I35" s="680"/>
      <c r="J35" s="681">
        <f>+'Bce 8 Columnas'!D84</f>
        <v>180000000</v>
      </c>
      <c r="K35" s="669"/>
      <c r="L35" s="682">
        <f>+J35+K35</f>
        <v>180000000</v>
      </c>
    </row>
    <row r="36" spans="2:13" ht="13.15" thickBot="1">
      <c r="B36" s="678" t="str">
        <f>+'Bce 8 Columnas'!B25</f>
        <v>1-1-06-005 Gastos Anticipados Correo</v>
      </c>
      <c r="C36" s="1065"/>
      <c r="D36" s="679">
        <f>+'Bce 8 Columnas'!C25</f>
        <v>10000000</v>
      </c>
      <c r="E36" s="674"/>
      <c r="F36" s="686">
        <f t="shared" si="4"/>
        <v>10000000</v>
      </c>
      <c r="H36" s="678" t="str">
        <f>+'Bce 8 Columnas'!B85</f>
        <v xml:space="preserve">2-1-05-002 Provision por Juicios </v>
      </c>
      <c r="I36" s="680"/>
      <c r="J36" s="681">
        <f>+'Bce 8 Columnas'!D85</f>
        <v>679000000</v>
      </c>
      <c r="K36" s="669"/>
      <c r="L36" s="682">
        <f t="shared" ref="L36:L38" si="5">+J36+K36</f>
        <v>679000000</v>
      </c>
    </row>
    <row r="37" spans="2:13">
      <c r="B37" s="672" t="s">
        <v>811</v>
      </c>
      <c r="C37" s="1064"/>
      <c r="D37" s="687">
        <f>SUM(D32:D36)</f>
        <v>27000000</v>
      </c>
      <c r="E37" s="674"/>
      <c r="F37" s="688">
        <f>SUM(F32:F36)</f>
        <v>27000000</v>
      </c>
      <c r="H37" s="678" t="str">
        <f>+'Bce 8 Columnas'!B86</f>
        <v>2-1-05-003 Provisión Tipo Comercial</v>
      </c>
      <c r="I37" s="680"/>
      <c r="J37" s="681">
        <f>+'Bce 8 Columnas'!D86</f>
        <v>10000000</v>
      </c>
      <c r="K37" s="669"/>
      <c r="L37" s="682">
        <f t="shared" si="5"/>
        <v>10000000</v>
      </c>
    </row>
    <row r="38" spans="2:13" ht="13.15" thickBot="1">
      <c r="B38" s="677"/>
      <c r="C38" s="1063"/>
      <c r="D38" s="668"/>
      <c r="E38" s="669"/>
      <c r="F38" s="669"/>
      <c r="H38" s="678" t="str">
        <f>+'Bce 8 Columnas'!B87</f>
        <v>2-1-05-004 Provisión Medioambiental</v>
      </c>
      <c r="I38" s="680"/>
      <c r="J38" s="681">
        <f>+'Bce 8 Columnas'!D87</f>
        <v>120000000</v>
      </c>
      <c r="K38" s="669"/>
      <c r="L38" s="682">
        <f t="shared" si="5"/>
        <v>120000000</v>
      </c>
    </row>
    <row r="39" spans="2:13">
      <c r="B39" s="678" t="str">
        <f>+'Bce 8 Columnas'!B26</f>
        <v xml:space="preserve">1-1-09-001 Cuentas por Cobrar </v>
      </c>
      <c r="C39" s="1065"/>
      <c r="D39" s="679">
        <f>+'Bce 8 Columnas'!C26</f>
        <v>40000000</v>
      </c>
      <c r="E39" s="674"/>
      <c r="F39" s="674">
        <f>+D39+E39</f>
        <v>40000000</v>
      </c>
      <c r="H39" s="672" t="s">
        <v>830</v>
      </c>
      <c r="I39" s="675"/>
      <c r="J39" s="683">
        <f>SUM(J35:J38)</f>
        <v>989000000</v>
      </c>
      <c r="K39" s="669"/>
      <c r="L39" s="684">
        <f>SUM(L35:L38)</f>
        <v>989000000</v>
      </c>
    </row>
    <row r="40" spans="2:13">
      <c r="B40" s="678" t="str">
        <f>+'Bce 8 Columnas'!B27</f>
        <v>1-1-09-002 Documentos por Cobrar</v>
      </c>
      <c r="C40" s="1065"/>
      <c r="D40" s="679">
        <f>+'Bce 8 Columnas'!C27</f>
        <v>50000000</v>
      </c>
      <c r="E40" s="674"/>
      <c r="F40" s="674">
        <f t="shared" ref="F40:F44" si="6">+D40+E40</f>
        <v>50000000</v>
      </c>
      <c r="H40" s="677"/>
      <c r="I40" s="670"/>
      <c r="J40" s="668"/>
      <c r="K40" s="669"/>
      <c r="L40" s="671"/>
    </row>
    <row r="41" spans="2:13" ht="13.15" thickBot="1">
      <c r="B41" s="678" t="str">
        <f>+'Bce 8 Columnas'!B28</f>
        <v xml:space="preserve">1-1-09-003 Préstamos por Cambio de Residencia </v>
      </c>
      <c r="C41" s="1065"/>
      <c r="D41" s="679">
        <f>+'Bce 8 Columnas'!C28</f>
        <v>124000000</v>
      </c>
      <c r="E41" s="674"/>
      <c r="F41" s="674">
        <f t="shared" si="6"/>
        <v>124000000</v>
      </c>
      <c r="H41" s="678" t="str">
        <f>+'Bce 8 Columnas'!B88</f>
        <v>2-1-07-001 Provisión Impuesto a la Renta</v>
      </c>
      <c r="I41" s="680"/>
      <c r="J41" s="1589">
        <f>+'Bce 8 Columnas'!D88</f>
        <v>180000000</v>
      </c>
      <c r="K41" s="669"/>
      <c r="L41" s="1593">
        <f>+J41+K41</f>
        <v>180000000</v>
      </c>
      <c r="M41" s="1060"/>
    </row>
    <row r="42" spans="2:13">
      <c r="B42" s="678" t="str">
        <f>+'Bce 8 Columnas'!B29</f>
        <v>1-1-09-004 Documentos Protestados</v>
      </c>
      <c r="C42" s="1065"/>
      <c r="D42" s="679">
        <f>+'Bce 8 Columnas'!C29</f>
        <v>30000000</v>
      </c>
      <c r="E42" s="674"/>
      <c r="F42" s="674">
        <f t="shared" si="6"/>
        <v>30000000</v>
      </c>
      <c r="H42" s="672" t="s">
        <v>831</v>
      </c>
      <c r="I42" s="675"/>
      <c r="J42" s="683">
        <f>SUM(J41)</f>
        <v>180000000</v>
      </c>
      <c r="K42" s="669"/>
      <c r="L42" s="684">
        <f>SUM(L41)</f>
        <v>180000000</v>
      </c>
    </row>
    <row r="43" spans="2:13">
      <c r="B43" s="678" t="str">
        <f>+'Bce 8 Columnas'!B30</f>
        <v>1-1-09-005 Fondos por Rendir</v>
      </c>
      <c r="C43" s="1065">
        <v>4</v>
      </c>
      <c r="D43" s="679">
        <f>+'Bce 8 Columnas'!C30</f>
        <v>40000000</v>
      </c>
      <c r="E43" s="674">
        <f>-'00 Ajustes Iniciales'!G53</f>
        <v>-27000000</v>
      </c>
      <c r="F43" s="674">
        <f t="shared" si="6"/>
        <v>13000000</v>
      </c>
      <c r="H43" s="677"/>
      <c r="I43" s="670"/>
      <c r="J43" s="668"/>
      <c r="K43" s="669"/>
      <c r="L43" s="671"/>
    </row>
    <row r="44" spans="2:13" ht="25.5">
      <c r="B44" s="678" t="str">
        <f>+'Bce 8 Columnas'!B31</f>
        <v>1-1-09-006 Clientes</v>
      </c>
      <c r="C44" s="1065">
        <v>5</v>
      </c>
      <c r="D44" s="679">
        <f>+'Bce 8 Columnas'!C31</f>
        <v>300210000</v>
      </c>
      <c r="E44" s="674">
        <f>-'00 Ajustes Iniciales'!G66</f>
        <v>-30000000</v>
      </c>
      <c r="F44" s="674">
        <f t="shared" si="6"/>
        <v>270210000</v>
      </c>
      <c r="H44" s="672" t="s">
        <v>832</v>
      </c>
      <c r="I44" s="675"/>
      <c r="J44" s="672">
        <v>0</v>
      </c>
      <c r="K44" s="669"/>
      <c r="L44" s="676">
        <f>+J44+K44</f>
        <v>0</v>
      </c>
    </row>
    <row r="45" spans="2:13">
      <c r="B45" s="678" t="str">
        <f>+'Bce 8 Columnas'!B32</f>
        <v>1-1-09-007 Deterioro Acumulado de Cuentas por Cobrar</v>
      </c>
      <c r="C45" s="1065"/>
      <c r="D45" s="1882">
        <f>-'Bce 8 Columnas'!D32</f>
        <v>-39021000</v>
      </c>
      <c r="E45" s="674"/>
      <c r="F45" s="1883">
        <f>+D45+E45</f>
        <v>-39021000</v>
      </c>
      <c r="H45" s="677"/>
      <c r="I45" s="670"/>
      <c r="J45" s="668"/>
      <c r="K45" s="669"/>
      <c r="L45" s="671"/>
    </row>
    <row r="46" spans="2:13" ht="25.9" thickBot="1">
      <c r="B46" s="678" t="str">
        <f>+'Bce 8 Columnas'!B33</f>
        <v>1-1-09-008 Anticipos de Deudores</v>
      </c>
      <c r="C46" s="1065"/>
      <c r="D46" s="1882">
        <f>-'Bce 8 Columnas'!D33</f>
        <v>-20000000</v>
      </c>
      <c r="E46" s="674"/>
      <c r="F46" s="1884">
        <f>+D46+E46</f>
        <v>-20000000</v>
      </c>
      <c r="H46" s="672" t="s">
        <v>833</v>
      </c>
      <c r="I46" s="675"/>
      <c r="J46" s="672">
        <v>0</v>
      </c>
      <c r="K46" s="669"/>
      <c r="L46" s="676">
        <f>+J46+K46</f>
        <v>0</v>
      </c>
    </row>
    <row r="47" spans="2:13" ht="25.5">
      <c r="B47" s="672" t="s">
        <v>812</v>
      </c>
      <c r="C47" s="1064"/>
      <c r="D47" s="687">
        <f>SUM(D39:D46)</f>
        <v>525189000</v>
      </c>
      <c r="E47" s="674"/>
      <c r="F47" s="688">
        <f>SUM(F39:F46)</f>
        <v>468189000</v>
      </c>
      <c r="H47" s="677"/>
      <c r="I47" s="670"/>
      <c r="J47" s="668"/>
      <c r="K47" s="669"/>
      <c r="L47" s="671"/>
    </row>
    <row r="48" spans="2:13">
      <c r="B48" s="1617"/>
      <c r="C48" s="1786"/>
      <c r="D48" s="1787"/>
      <c r="E48" s="1788"/>
      <c r="F48" s="1788"/>
      <c r="H48" s="672" t="s">
        <v>834</v>
      </c>
      <c r="I48" s="675"/>
      <c r="J48" s="672">
        <v>0</v>
      </c>
      <c r="K48" s="669"/>
      <c r="L48" s="676">
        <f>+J48+K48</f>
        <v>0</v>
      </c>
    </row>
    <row r="49" spans="2:12" ht="25.5">
      <c r="B49" s="1789" t="s">
        <v>813</v>
      </c>
      <c r="C49" s="1790"/>
      <c r="D49" s="1791">
        <v>0</v>
      </c>
      <c r="E49" s="1792"/>
      <c r="F49" s="1793">
        <f>+D49+E49</f>
        <v>0</v>
      </c>
      <c r="H49" s="677"/>
      <c r="I49" s="670"/>
      <c r="J49" s="668"/>
      <c r="K49" s="669"/>
      <c r="L49" s="671"/>
    </row>
    <row r="50" spans="2:12">
      <c r="B50" s="677"/>
      <c r="C50" s="1063"/>
      <c r="D50" s="668"/>
      <c r="E50" s="669"/>
      <c r="F50" s="669"/>
      <c r="H50" s="672" t="s">
        <v>835</v>
      </c>
      <c r="I50" s="675"/>
      <c r="J50" s="672"/>
      <c r="K50" s="669"/>
      <c r="L50" s="676"/>
    </row>
    <row r="51" spans="2:12">
      <c r="B51" s="678" t="str">
        <f>+'Bce 8 Columnas'!B34</f>
        <v xml:space="preserve">1-1-12-001 Productos Terminados </v>
      </c>
      <c r="C51" s="1065"/>
      <c r="D51" s="679">
        <f>+'Bce 8 Columnas'!C34</f>
        <v>300000000</v>
      </c>
      <c r="E51" s="674"/>
      <c r="F51" s="674">
        <f>+D51+E51</f>
        <v>300000000</v>
      </c>
      <c r="H51" s="677"/>
      <c r="I51" s="670"/>
      <c r="J51" s="668"/>
      <c r="K51" s="669"/>
      <c r="L51" s="671"/>
    </row>
    <row r="52" spans="2:12" ht="25.5">
      <c r="B52" s="678" t="str">
        <f>+'Bce 8 Columnas'!B35</f>
        <v xml:space="preserve">1-1-12-002 Existencias de Materias Primas </v>
      </c>
      <c r="C52" s="1065"/>
      <c r="D52" s="679">
        <f>+'Bce 8 Columnas'!C35</f>
        <v>400000000</v>
      </c>
      <c r="E52" s="674"/>
      <c r="F52" s="674">
        <f t="shared" ref="F52:F53" si="7">+D52+E52</f>
        <v>400000000</v>
      </c>
      <c r="H52" s="672" t="s">
        <v>836</v>
      </c>
      <c r="I52" s="675"/>
      <c r="J52" s="672">
        <v>0</v>
      </c>
      <c r="K52" s="669"/>
      <c r="L52" s="676">
        <f>+J52+K52</f>
        <v>0</v>
      </c>
    </row>
    <row r="53" spans="2:12" ht="13.15" thickBot="1">
      <c r="B53" s="678" t="str">
        <f>+'Bce 8 Columnas'!B36</f>
        <v xml:space="preserve">1-1-12-003 Existencia de Productos Elaborados </v>
      </c>
      <c r="C53" s="1065"/>
      <c r="D53" s="679">
        <f>+'Bce 8 Columnas'!C36</f>
        <v>65550000</v>
      </c>
      <c r="E53" s="674"/>
      <c r="F53" s="686">
        <f t="shared" si="7"/>
        <v>65550000</v>
      </c>
      <c r="H53" s="677"/>
      <c r="I53" s="670"/>
      <c r="J53" s="668"/>
      <c r="K53" s="669"/>
      <c r="L53" s="671"/>
    </row>
    <row r="54" spans="2:12">
      <c r="B54" s="672" t="s">
        <v>814</v>
      </c>
      <c r="C54" s="1064"/>
      <c r="D54" s="687">
        <f>SUM(D51:D53)</f>
        <v>765550000</v>
      </c>
      <c r="E54" s="674"/>
      <c r="F54" s="688">
        <f>SUM(F51:F53)</f>
        <v>765550000</v>
      </c>
      <c r="H54" s="672" t="s">
        <v>837</v>
      </c>
      <c r="I54" s="675"/>
      <c r="J54" s="672">
        <v>0</v>
      </c>
      <c r="K54" s="669"/>
      <c r="L54" s="676">
        <f>+J54+K54</f>
        <v>0</v>
      </c>
    </row>
    <row r="55" spans="2:12">
      <c r="B55" s="677"/>
      <c r="C55" s="1063"/>
      <c r="D55" s="668"/>
      <c r="E55" s="669"/>
      <c r="F55" s="669"/>
      <c r="H55" s="677"/>
      <c r="I55" s="670"/>
      <c r="J55" s="668"/>
      <c r="K55" s="669"/>
      <c r="L55" s="671"/>
    </row>
    <row r="56" spans="2:12" ht="25.5">
      <c r="B56" s="678" t="str">
        <f>+'Bce 8 Columnas'!B38</f>
        <v>1-1-15-001 Pagos Provisionales Mensuales</v>
      </c>
      <c r="C56" s="1065"/>
      <c r="D56" s="679">
        <f>+'Bce 8 Columnas'!C38</f>
        <v>134629000</v>
      </c>
      <c r="E56" s="674"/>
      <c r="F56" s="674">
        <f>+D56+E56</f>
        <v>134629000</v>
      </c>
      <c r="H56" s="672" t="s">
        <v>838</v>
      </c>
      <c r="I56" s="675"/>
      <c r="J56" s="672">
        <v>0</v>
      </c>
      <c r="K56" s="669"/>
      <c r="L56" s="676">
        <f>+J56+K56</f>
        <v>0</v>
      </c>
    </row>
    <row r="57" spans="2:12">
      <c r="B57" s="678" t="str">
        <f>+'Bce 8 Columnas'!B39</f>
        <v>1-1-15-002 Crédito Activo Fijo</v>
      </c>
      <c r="C57" s="1065"/>
      <c r="D57" s="679">
        <f>+'Bce 8 Columnas'!C39</f>
        <v>15000000</v>
      </c>
      <c r="E57" s="674"/>
      <c r="F57" s="674">
        <f t="shared" ref="F57:F58" si="8">+D57+E57</f>
        <v>15000000</v>
      </c>
      <c r="H57" s="677"/>
      <c r="I57" s="670"/>
      <c r="J57" s="668"/>
      <c r="K57" s="669"/>
      <c r="L57" s="671"/>
    </row>
    <row r="58" spans="2:12" ht="13.15" thickBot="1">
      <c r="B58" s="678" t="str">
        <f>+'Bce 8 Columnas'!B40</f>
        <v>1-1-15-003 Crédito Sence</v>
      </c>
      <c r="C58" s="1065"/>
      <c r="D58" s="679">
        <f>+'Bce 8 Columnas'!C40</f>
        <v>3000000</v>
      </c>
      <c r="E58" s="674"/>
      <c r="F58" s="686">
        <f t="shared" si="8"/>
        <v>3000000</v>
      </c>
      <c r="H58" s="672" t="s">
        <v>839</v>
      </c>
      <c r="I58" s="675"/>
      <c r="J58" s="672">
        <v>0</v>
      </c>
      <c r="K58" s="669"/>
      <c r="L58" s="676">
        <f>+J58+K58</f>
        <v>0</v>
      </c>
    </row>
    <row r="59" spans="2:12">
      <c r="B59" s="672" t="s">
        <v>815</v>
      </c>
      <c r="C59" s="1064"/>
      <c r="D59" s="687">
        <f>SUM(D56:D58)</f>
        <v>152629000</v>
      </c>
      <c r="E59" s="674"/>
      <c r="F59" s="688">
        <f>SUM(F56:F58)</f>
        <v>152629000</v>
      </c>
      <c r="H59" s="677"/>
      <c r="I59" s="670"/>
      <c r="J59" s="668"/>
      <c r="K59" s="669"/>
      <c r="L59" s="671"/>
    </row>
    <row r="60" spans="2:12" ht="13.15" thickBot="1">
      <c r="B60" s="677"/>
      <c r="C60" s="1063"/>
      <c r="D60" s="668"/>
      <c r="E60" s="669"/>
      <c r="F60" s="669"/>
      <c r="H60" s="678" t="str">
        <f>+'Bce 8 Columnas'!B90</f>
        <v>2-2-09-001 Pasivos por Impuestos diferidos</v>
      </c>
      <c r="I60" s="680"/>
      <c r="J60" s="1589">
        <f>+'Bce 8 Columnas'!D90</f>
        <v>0</v>
      </c>
      <c r="K60" s="669"/>
      <c r="L60" s="1590">
        <f>+J60+K60</f>
        <v>0</v>
      </c>
    </row>
    <row r="61" spans="2:12" ht="13.15" thickBot="1">
      <c r="B61" s="678" t="str">
        <f>+'Bce 8 Columnas'!B37</f>
        <v>1-1-13-001 Animales Vivos</v>
      </c>
      <c r="C61" s="1065"/>
      <c r="D61" s="685">
        <f>+'Bce 8 Columnas'!C37</f>
        <v>94760000</v>
      </c>
      <c r="E61" s="674"/>
      <c r="F61" s="686">
        <f>+D61+E61</f>
        <v>94760000</v>
      </c>
      <c r="H61" s="672" t="s">
        <v>840</v>
      </c>
      <c r="I61" s="675"/>
      <c r="J61" s="1591">
        <f>SUM(J60)</f>
        <v>0</v>
      </c>
      <c r="K61" s="669"/>
      <c r="L61" s="1592">
        <f>SUM(L60)</f>
        <v>0</v>
      </c>
    </row>
    <row r="62" spans="2:12">
      <c r="B62" s="672" t="s">
        <v>980</v>
      </c>
      <c r="C62" s="1064"/>
      <c r="D62" s="687">
        <f>SUM(D61)</f>
        <v>94760000</v>
      </c>
      <c r="E62" s="674"/>
      <c r="F62" s="688">
        <f>SUM(F61)</f>
        <v>94760000</v>
      </c>
      <c r="H62" s="677"/>
      <c r="I62" s="670"/>
      <c r="J62" s="668"/>
      <c r="K62" s="669"/>
      <c r="L62" s="671"/>
    </row>
    <row r="63" spans="2:12" ht="13.15" thickBot="1">
      <c r="B63" s="677"/>
      <c r="C63" s="1063"/>
      <c r="D63" s="668"/>
      <c r="E63" s="669"/>
      <c r="F63" s="669"/>
      <c r="H63" s="678" t="str">
        <f>+'Bce 8 Columnas'!B89</f>
        <v>2-2-08-001 Provisión Indemnizaciones años de servicios</v>
      </c>
      <c r="I63" s="680"/>
      <c r="J63" s="1589">
        <f>+'Bce 8 Columnas'!D89</f>
        <v>150000000</v>
      </c>
      <c r="K63" s="669"/>
      <c r="L63" s="1593">
        <f>+J63+K63</f>
        <v>150000000</v>
      </c>
    </row>
    <row r="64" spans="2:12" ht="25.5">
      <c r="B64" s="672" t="s">
        <v>816</v>
      </c>
      <c r="C64" s="1064"/>
      <c r="D64" s="673">
        <v>0</v>
      </c>
      <c r="E64" s="674"/>
      <c r="F64" s="688">
        <f>+D64+E64</f>
        <v>0</v>
      </c>
      <c r="H64" s="672" t="s">
        <v>841</v>
      </c>
      <c r="I64" s="675"/>
      <c r="J64" s="683">
        <f>SUM(J63)</f>
        <v>150000000</v>
      </c>
      <c r="K64" s="669"/>
      <c r="L64" s="684">
        <f>SUM(L63)</f>
        <v>150000000</v>
      </c>
    </row>
    <row r="65" spans="2:20">
      <c r="B65" s="677"/>
      <c r="C65" s="1063"/>
      <c r="D65" s="668"/>
      <c r="E65" s="669"/>
      <c r="F65" s="669"/>
      <c r="H65" s="677"/>
      <c r="I65" s="670"/>
      <c r="J65" s="668"/>
      <c r="K65" s="669"/>
      <c r="L65" s="671"/>
    </row>
    <row r="66" spans="2:20" ht="25.5">
      <c r="B66" s="672" t="s">
        <v>817</v>
      </c>
      <c r="C66" s="1064"/>
      <c r="D66" s="673"/>
      <c r="E66" s="674"/>
      <c r="F66" s="674"/>
      <c r="H66" s="672" t="s">
        <v>842</v>
      </c>
      <c r="I66" s="675"/>
      <c r="J66" s="672">
        <v>0</v>
      </c>
      <c r="K66" s="669"/>
      <c r="L66" s="676">
        <f>+J66+K66</f>
        <v>0</v>
      </c>
    </row>
    <row r="67" spans="2:20">
      <c r="B67" s="677"/>
      <c r="C67" s="1063"/>
      <c r="D67" s="668"/>
      <c r="E67" s="669"/>
      <c r="F67" s="669"/>
      <c r="H67" s="677"/>
      <c r="I67" s="670"/>
      <c r="J67" s="668"/>
      <c r="K67" s="669"/>
      <c r="L67" s="671"/>
    </row>
    <row r="68" spans="2:20">
      <c r="B68" s="672" t="s">
        <v>818</v>
      </c>
      <c r="C68" s="1064"/>
      <c r="D68" s="673">
        <v>0</v>
      </c>
      <c r="E68" s="674"/>
      <c r="F68" s="688">
        <f>+D68+E68</f>
        <v>0</v>
      </c>
      <c r="H68" s="672" t="s">
        <v>843</v>
      </c>
      <c r="I68" s="675"/>
      <c r="J68" s="672"/>
      <c r="K68" s="669"/>
      <c r="L68" s="676"/>
    </row>
    <row r="69" spans="2:20" ht="13.15" thickBot="1">
      <c r="B69" s="677"/>
      <c r="C69" s="1063"/>
      <c r="D69" s="668"/>
      <c r="E69" s="669"/>
      <c r="F69" s="669"/>
      <c r="H69" s="677"/>
      <c r="I69" s="670"/>
      <c r="J69" s="668"/>
      <c r="K69" s="669"/>
      <c r="L69" s="671"/>
    </row>
    <row r="70" spans="2:20">
      <c r="B70" s="677"/>
      <c r="C70" s="1063"/>
      <c r="D70" s="668"/>
      <c r="E70" s="669"/>
      <c r="F70" s="669">
        <f>+E70</f>
        <v>0</v>
      </c>
      <c r="H70" s="1594" t="str">
        <f>+'Bce 8 Columnas'!B91</f>
        <v xml:space="preserve">2-3-01-001 Capital </v>
      </c>
      <c r="I70" s="1149"/>
      <c r="J70" s="1595">
        <f>+'Bce 8 Columnas'!D91</f>
        <v>400000000</v>
      </c>
      <c r="K70" s="1150"/>
      <c r="L70" s="1596">
        <f>+J70+K70</f>
        <v>400000000</v>
      </c>
    </row>
    <row r="71" spans="2:20" ht="13.15" thickBot="1">
      <c r="B71" s="677"/>
      <c r="C71" s="1063"/>
      <c r="D71" s="668"/>
      <c r="E71" s="669"/>
      <c r="F71" s="669">
        <f>+E71</f>
        <v>0</v>
      </c>
      <c r="H71" s="678" t="str">
        <f>+'Bce 8 Columnas'!B92</f>
        <v>2-3-01-002 Revalorización Capital Propio</v>
      </c>
      <c r="I71" s="680">
        <v>10</v>
      </c>
      <c r="J71" s="1589">
        <f>+'Bce 8 Columnas'!D92</f>
        <v>250000000</v>
      </c>
      <c r="K71" s="669">
        <f>-'00 Ajustes Iniciales'!F130</f>
        <v>-31500000</v>
      </c>
      <c r="L71" s="682">
        <f>+J71+K71</f>
        <v>218500000</v>
      </c>
    </row>
    <row r="72" spans="2:20" ht="13.15" thickBot="1">
      <c r="B72" s="672" t="s">
        <v>819</v>
      </c>
      <c r="C72" s="1064"/>
      <c r="D72" s="673">
        <v>0</v>
      </c>
      <c r="E72" s="674"/>
      <c r="F72" s="688">
        <f>SUM(F70:F71)</f>
        <v>0</v>
      </c>
      <c r="H72" s="1597" t="s">
        <v>844</v>
      </c>
      <c r="I72" s="1151"/>
      <c r="J72" s="1598">
        <f>SUM(J70:J71)</f>
        <v>650000000</v>
      </c>
      <c r="K72" s="1152"/>
      <c r="L72" s="1599">
        <f>SUM(L70:L71)</f>
        <v>618500000</v>
      </c>
    </row>
    <row r="73" spans="2:20">
      <c r="B73" s="677"/>
      <c r="C73" s="1063"/>
      <c r="D73" s="668"/>
      <c r="E73" s="669"/>
      <c r="F73" s="669"/>
      <c r="H73" s="672"/>
      <c r="I73" s="675"/>
      <c r="J73" s="1600"/>
      <c r="K73" s="669"/>
      <c r="L73" s="1601"/>
      <c r="Q73" s="1602"/>
    </row>
    <row r="74" spans="2:20">
      <c r="B74" s="672" t="s">
        <v>820</v>
      </c>
      <c r="C74" s="1064"/>
      <c r="D74" s="673">
        <v>0</v>
      </c>
      <c r="E74" s="674"/>
      <c r="F74" s="688">
        <f>+D74+E74</f>
        <v>0</v>
      </c>
      <c r="H74" s="672"/>
      <c r="I74" s="675"/>
      <c r="J74" s="1600"/>
      <c r="K74" s="669"/>
      <c r="L74" s="1601"/>
      <c r="N74" s="1603"/>
    </row>
    <row r="75" spans="2:20">
      <c r="B75" s="677"/>
      <c r="C75" s="1063"/>
      <c r="D75" s="668"/>
      <c r="E75" s="669"/>
      <c r="F75" s="669"/>
      <c r="H75" s="677"/>
      <c r="I75" s="670"/>
      <c r="J75" s="668"/>
      <c r="K75" s="669"/>
      <c r="L75" s="671"/>
      <c r="N75" s="1603"/>
    </row>
    <row r="76" spans="2:20" ht="38.65" thickBot="1">
      <c r="B76" s="672" t="s">
        <v>821</v>
      </c>
      <c r="C76" s="1064"/>
      <c r="D76" s="673">
        <v>0</v>
      </c>
      <c r="E76" s="674"/>
      <c r="F76" s="688">
        <f>+D76+E76</f>
        <v>0</v>
      </c>
      <c r="H76" s="678" t="s">
        <v>1719</v>
      </c>
      <c r="I76" s="680" t="s">
        <v>1760</v>
      </c>
      <c r="J76" s="689"/>
      <c r="K76" s="1589">
        <f>+'01 PPE'!G48+'01 PPE'!G54+'01 PPE'!G70+'01 PPE'!G93+'01 PPE'!G170+'01 PPE'!G171+'01 PPE'!G172-'01 PPE'!F193-'01 PPE'!F209-'01 PPE'!F292</f>
        <v>328196400</v>
      </c>
      <c r="L76" s="1589">
        <f>+J76+K76</f>
        <v>328196400</v>
      </c>
      <c r="N76" s="1603"/>
    </row>
    <row r="77" spans="2:20">
      <c r="B77" s="677" t="str">
        <f>+'Bce 8 Columnas'!B41</f>
        <v>1-2-01-001 Empresa Relacionada FC</v>
      </c>
      <c r="C77" s="1063"/>
      <c r="D77" s="1611">
        <f>+'Bce 8 Columnas'!C41</f>
        <v>195000000</v>
      </c>
      <c r="E77" s="669"/>
      <c r="F77" s="674">
        <f>+D77+E77</f>
        <v>195000000</v>
      </c>
      <c r="H77" s="672" t="s">
        <v>845</v>
      </c>
      <c r="I77" s="675"/>
      <c r="J77" s="672">
        <f>SUM(J76)</f>
        <v>0</v>
      </c>
      <c r="K77" s="669"/>
      <c r="L77" s="1601">
        <f>SUM(L76)</f>
        <v>328196400</v>
      </c>
      <c r="N77" s="1602"/>
      <c r="R77" s="1484"/>
      <c r="S77" s="1483"/>
    </row>
    <row r="78" spans="2:20" ht="13.15" thickBot="1">
      <c r="B78" s="677" t="str">
        <f>+'Bce 8 Columnas'!B42</f>
        <v>1-2-01-002 Empresa Relacionada B&amp;N</v>
      </c>
      <c r="C78" s="1065"/>
      <c r="D78" s="1611">
        <f>+'Bce 8 Columnas'!C42</f>
        <v>185000000</v>
      </c>
      <c r="E78" s="674"/>
      <c r="F78" s="674">
        <f>+D78+E78</f>
        <v>185000000</v>
      </c>
      <c r="H78" s="677"/>
      <c r="I78" s="670"/>
      <c r="J78" s="668"/>
      <c r="K78" s="669"/>
      <c r="L78" s="671"/>
      <c r="R78" s="1485" t="s">
        <v>1343</v>
      </c>
      <c r="S78" s="1063" t="s">
        <v>1344</v>
      </c>
      <c r="T78" s="1060" t="s">
        <v>857</v>
      </c>
    </row>
    <row r="79" spans="2:20" ht="25.9" thickBot="1">
      <c r="B79" s="677" t="str">
        <f>+'Bce 8 Columnas'!B43</f>
        <v>1-2-01-003 Empresa Relacionada CasaIdeas</v>
      </c>
      <c r="C79" s="1065"/>
      <c r="D79" s="1611">
        <f>+'Bce 8 Columnas'!C43</f>
        <v>13500000</v>
      </c>
      <c r="E79" s="674"/>
      <c r="F79" s="674">
        <f t="shared" ref="F79:F84" si="9">+D79+E79</f>
        <v>13500000</v>
      </c>
      <c r="H79" s="678" t="str">
        <f>+'Bce 8 Columnas'!B93</f>
        <v>2-3-01-003 Ganancias (pérdidas) acumuladas</v>
      </c>
      <c r="I79" s="1810" t="s">
        <v>1733</v>
      </c>
      <c r="J79" s="1589">
        <f>+'Bce 8 Columnas'!D93</f>
        <v>720000000</v>
      </c>
      <c r="K79" s="1589">
        <f>-'00 Ajustes Iniciales'!F65+'00 Ajustes Iniciales'!G92+'00 Ajustes Iniciales'!G105+'01 PPE'!G144</f>
        <v>270000000</v>
      </c>
      <c r="L79" s="1593">
        <f>+J79+K79</f>
        <v>990000000</v>
      </c>
      <c r="N79" s="2018" t="s">
        <v>982</v>
      </c>
      <c r="O79" s="2019"/>
      <c r="P79" s="2019"/>
      <c r="Q79" s="2020"/>
      <c r="R79" s="1216"/>
      <c r="S79" s="669"/>
      <c r="T79" s="1482"/>
    </row>
    <row r="80" spans="2:20" ht="13.8" customHeight="1" thickBot="1">
      <c r="B80" s="677" t="str">
        <f>+'Bce 8 Columnas'!B44</f>
        <v>1-2-01-004 Empresa Relacionada Falabella</v>
      </c>
      <c r="C80" s="1065"/>
      <c r="D80" s="1611">
        <f>+'Bce 8 Columnas'!C44</f>
        <v>300000000</v>
      </c>
      <c r="E80" s="674"/>
      <c r="F80" s="674">
        <f t="shared" si="9"/>
        <v>300000000</v>
      </c>
      <c r="H80" s="672" t="s">
        <v>846</v>
      </c>
      <c r="I80" s="675"/>
      <c r="J80" s="683">
        <f>SUM(J79)</f>
        <v>720000000</v>
      </c>
      <c r="K80" s="669"/>
      <c r="L80" s="684">
        <f>SUM(L79)</f>
        <v>990000000</v>
      </c>
      <c r="R80" s="1486"/>
      <c r="S80" s="689"/>
    </row>
    <row r="81" spans="2:12">
      <c r="B81" s="677" t="str">
        <f>+'Bce 8 Columnas'!B45</f>
        <v>1-2-01-005 Empresa Relacionada Paris</v>
      </c>
      <c r="C81" s="1065"/>
      <c r="D81" s="1611">
        <f>+'Bce 8 Columnas'!C45</f>
        <v>117250000</v>
      </c>
      <c r="E81" s="674"/>
      <c r="F81" s="674">
        <f t="shared" si="9"/>
        <v>117250000</v>
      </c>
      <c r="H81" s="677"/>
      <c r="I81" s="670"/>
      <c r="J81" s="668"/>
      <c r="K81" s="669"/>
      <c r="L81" s="671"/>
    </row>
    <row r="82" spans="2:12">
      <c r="B82" s="677" t="str">
        <f>+'Bce 8 Columnas'!B46</f>
        <v>1-2-01-006 Empresa Relacionada Lun</v>
      </c>
      <c r="C82" s="1065"/>
      <c r="D82" s="1611">
        <f>+'Bce 8 Columnas'!C46</f>
        <v>31500000</v>
      </c>
      <c r="E82" s="674"/>
      <c r="F82" s="674">
        <f t="shared" si="9"/>
        <v>31500000</v>
      </c>
      <c r="H82" s="677"/>
      <c r="I82" s="670"/>
      <c r="J82" s="668"/>
      <c r="K82" s="669"/>
      <c r="L82" s="671"/>
    </row>
    <row r="83" spans="2:12" ht="13.15" thickBot="1">
      <c r="B83" s="677" t="str">
        <f>+'Bce 8 Columnas'!B47</f>
        <v>1-2-01-007 Empresa Relacionada Roma</v>
      </c>
      <c r="C83" s="1065"/>
      <c r="D83" s="1611">
        <f>+'Bce 8 Columnas'!C47</f>
        <v>78000000</v>
      </c>
      <c r="E83" s="674"/>
      <c r="F83" s="674">
        <f t="shared" si="9"/>
        <v>78000000</v>
      </c>
      <c r="H83" s="678" t="s">
        <v>1209</v>
      </c>
      <c r="I83" s="680"/>
      <c r="J83" s="1589">
        <f>+D213</f>
        <v>766213492</v>
      </c>
      <c r="K83" s="669">
        <f>+E213</f>
        <v>-128094821</v>
      </c>
      <c r="L83" s="1593">
        <f>+J83+K83</f>
        <v>638118671</v>
      </c>
    </row>
    <row r="84" spans="2:12" ht="13.15" thickBot="1">
      <c r="B84" s="677"/>
      <c r="C84" s="1065"/>
      <c r="D84" s="1612"/>
      <c r="E84" s="674"/>
      <c r="F84" s="686">
        <f t="shared" si="9"/>
        <v>0</v>
      </c>
      <c r="H84" s="672" t="s">
        <v>983</v>
      </c>
      <c r="I84" s="675"/>
      <c r="J84" s="683">
        <f>SUM(J83)</f>
        <v>766213492</v>
      </c>
      <c r="K84" s="669"/>
      <c r="L84" s="684">
        <f>SUM(L83)</f>
        <v>638118671</v>
      </c>
    </row>
    <row r="85" spans="2:12" ht="13.15" thickBot="1">
      <c r="B85" s="1798" t="s">
        <v>984</v>
      </c>
      <c r="C85" s="1799"/>
      <c r="D85" s="1800">
        <f>SUM(D77:D84)</f>
        <v>920250000</v>
      </c>
      <c r="E85" s="686"/>
      <c r="F85" s="1801">
        <f>SUM(F77:F84)</f>
        <v>920250000</v>
      </c>
      <c r="H85" s="677"/>
      <c r="I85" s="670"/>
      <c r="J85" s="668"/>
      <c r="K85" s="669"/>
      <c r="L85" s="671"/>
    </row>
    <row r="86" spans="2:12" ht="13.15" thickBot="1">
      <c r="B86" s="677"/>
      <c r="C86" s="1063"/>
      <c r="D86" s="668"/>
      <c r="E86" s="669"/>
      <c r="F86" s="669"/>
      <c r="H86" s="1605" t="s">
        <v>38</v>
      </c>
      <c r="I86" s="690"/>
      <c r="J86" s="1606">
        <f>+J84+J80+J77+J72+J66+J64+J61+J58+J56+J54+J52+J48+J46+J44+J42+J39+J31+J33+J19</f>
        <v>4897614180</v>
      </c>
      <c r="K86" s="697">
        <f>SUM(K9:K85)</f>
        <v>131601579</v>
      </c>
      <c r="L86" s="1607">
        <f>+L84+L80+L77+L72+L66+L64+L61+L58+L56+L54+L52+L48+L46+L44+L42+L39+L31+L33+L19</f>
        <v>5029215759</v>
      </c>
    </row>
    <row r="87" spans="2:12" ht="13.15" thickBot="1">
      <c r="B87" s="678" t="str">
        <f>+'Bce 8 Columnas'!B48</f>
        <v>1-2-03-001 Software Contable</v>
      </c>
      <c r="C87" s="1065"/>
      <c r="D87" s="679">
        <f>+'Bce 8 Columnas'!C48</f>
        <v>1500000</v>
      </c>
      <c r="E87" s="674"/>
      <c r="F87" s="674">
        <f>+D87+E87</f>
        <v>1500000</v>
      </c>
      <c r="H87" s="689"/>
      <c r="I87" s="691"/>
      <c r="J87" s="689"/>
      <c r="K87" s="692"/>
      <c r="L87" s="1608"/>
    </row>
    <row r="88" spans="2:12">
      <c r="B88" s="678" t="str">
        <f>+'Bce 8 Columnas'!B49</f>
        <v>1-2-03-002 Derechos de Agua</v>
      </c>
      <c r="C88" s="1065"/>
      <c r="D88" s="679">
        <f>+'Bce 8 Columnas'!C49</f>
        <v>1</v>
      </c>
      <c r="E88" s="674"/>
      <c r="F88" s="674">
        <f t="shared" ref="F88:F90" si="10">+D88+E88</f>
        <v>1</v>
      </c>
    </row>
    <row r="89" spans="2:12" ht="13.15" thickBot="1">
      <c r="B89" s="678" t="str">
        <f>+'Bce 8 Columnas'!B50</f>
        <v>1-2-03-003 Servidumbre de Paso</v>
      </c>
      <c r="C89" s="1065"/>
      <c r="D89" s="679">
        <f>+'Bce 8 Columnas'!C50</f>
        <v>7000000</v>
      </c>
      <c r="E89" s="674"/>
      <c r="F89" s="674">
        <f t="shared" si="10"/>
        <v>7000000</v>
      </c>
    </row>
    <row r="90" spans="2:12" ht="13.15" thickBot="1">
      <c r="B90" s="678" t="str">
        <f>+'Bce 8 Columnas'!B51</f>
        <v>1-2-03-004 Marca Colegio de Contadores</v>
      </c>
      <c r="C90" s="1065"/>
      <c r="D90" s="1612">
        <f>+'Bce 8 Columnas'!C51</f>
        <v>0</v>
      </c>
      <c r="E90" s="674"/>
      <c r="F90" s="686">
        <f t="shared" si="10"/>
        <v>0</v>
      </c>
      <c r="H90" s="1806" t="s">
        <v>987</v>
      </c>
      <c r="I90" s="1807"/>
      <c r="J90" s="1609">
        <f>+F132-L86</f>
        <v>0</v>
      </c>
    </row>
    <row r="91" spans="2:12" ht="13.15" thickBot="1">
      <c r="B91" s="672" t="s">
        <v>822</v>
      </c>
      <c r="C91" s="1064"/>
      <c r="D91" s="687">
        <f>SUM(D87:D90)</f>
        <v>8500001</v>
      </c>
      <c r="E91" s="674"/>
      <c r="F91" s="688">
        <f>SUM(F87:F90)</f>
        <v>8500001</v>
      </c>
      <c r="H91" s="1808" t="s">
        <v>1302</v>
      </c>
      <c r="I91" s="1809"/>
      <c r="J91" s="1217">
        <f>+E132-K86</f>
        <v>0</v>
      </c>
    </row>
    <row r="92" spans="2:12">
      <c r="B92" s="677"/>
      <c r="C92" s="1063"/>
      <c r="D92" s="668"/>
      <c r="E92" s="669"/>
      <c r="F92" s="669"/>
    </row>
    <row r="93" spans="2:12">
      <c r="B93" s="678" t="str">
        <f>+'Bce 8 Columnas'!B52</f>
        <v>1-2-05-001 Plusvalia</v>
      </c>
      <c r="C93" s="1065"/>
      <c r="D93" s="679">
        <f>+'Bce 8 Columnas'!C52</f>
        <v>157500000</v>
      </c>
      <c r="E93" s="674"/>
      <c r="F93" s="674">
        <f>+D93+E93</f>
        <v>157500000</v>
      </c>
    </row>
    <row r="94" spans="2:12" ht="13.15" thickBot="1">
      <c r="B94" s="678" t="str">
        <f>+'Bce 8 Columnas'!B53</f>
        <v>1-2-05-002 Amortización Plusvalia</v>
      </c>
      <c r="C94" s="1065"/>
      <c r="D94" s="679">
        <f>-'Bce 8 Columnas'!D53</f>
        <v>-122500000</v>
      </c>
      <c r="E94" s="674"/>
      <c r="F94" s="686">
        <f>+D94+E94</f>
        <v>-122500000</v>
      </c>
    </row>
    <row r="95" spans="2:12">
      <c r="B95" s="672" t="s">
        <v>992</v>
      </c>
      <c r="C95" s="2563"/>
      <c r="D95" s="2566">
        <f>SUM(D93:D94)</f>
        <v>35000000</v>
      </c>
      <c r="E95" s="2562"/>
      <c r="F95" s="688">
        <f>SUM(F93:F94)</f>
        <v>35000000</v>
      </c>
    </row>
    <row r="96" spans="2:12">
      <c r="B96" s="677"/>
      <c r="C96" s="2564"/>
      <c r="D96" s="668"/>
      <c r="E96" s="2565"/>
      <c r="F96" s="669"/>
    </row>
    <row r="97" spans="2:6">
      <c r="B97" s="678" t="str">
        <f>+'Bce 8 Columnas'!B54</f>
        <v xml:space="preserve">1-2-10-001 Maquinarias y Equipos </v>
      </c>
      <c r="C97" s="1420">
        <v>16</v>
      </c>
      <c r="D97" s="679">
        <f>+'Bce 8 Columnas'!C54</f>
        <v>20000000</v>
      </c>
      <c r="E97" s="2562">
        <f>-'01 PPE'!G165</f>
        <v>-20000000</v>
      </c>
      <c r="F97" s="674">
        <f>+D97+E97</f>
        <v>0</v>
      </c>
    </row>
    <row r="98" spans="2:6">
      <c r="B98" s="678" t="str">
        <f>+'Bce 8 Columnas'!B55</f>
        <v>1-2-10-002 Muebles y Enseres</v>
      </c>
      <c r="C98" s="1420">
        <v>15</v>
      </c>
      <c r="D98" s="679">
        <f>+'Bce 8 Columnas'!C55</f>
        <v>22000000</v>
      </c>
      <c r="E98" s="2562">
        <f>-'01 PPE'!G139</f>
        <v>-22000000</v>
      </c>
      <c r="F98" s="674">
        <f t="shared" ref="F98:F117" si="11">+D98+E98</f>
        <v>0</v>
      </c>
    </row>
    <row r="99" spans="2:6">
      <c r="B99" s="678" t="str">
        <f>+'Bce 8 Columnas'!B56</f>
        <v xml:space="preserve">1-2-10-003 Vehículos </v>
      </c>
      <c r="C99" s="1420"/>
      <c r="D99" s="679">
        <f>+'Bce 8 Columnas'!C56</f>
        <v>30000000</v>
      </c>
      <c r="E99" s="2562"/>
      <c r="F99" s="674">
        <f t="shared" si="11"/>
        <v>30000000</v>
      </c>
    </row>
    <row r="100" spans="2:6">
      <c r="B100" s="678" t="str">
        <f>+'Bce 8 Columnas'!B57</f>
        <v>1-2-10-004 Edificaciones</v>
      </c>
      <c r="C100" s="1420">
        <v>13</v>
      </c>
      <c r="D100" s="679">
        <f>+'Bce 8 Columnas'!C57</f>
        <v>240000000</v>
      </c>
      <c r="E100" s="2562">
        <f>+'01 PPE'!F92</f>
        <v>90000000</v>
      </c>
      <c r="F100" s="674">
        <f t="shared" si="11"/>
        <v>330000000</v>
      </c>
    </row>
    <row r="101" spans="2:6">
      <c r="B101" s="678" t="str">
        <f>+'Bce 8 Columnas'!B59</f>
        <v>1-2-10-006 Otras Máquinas y Equipos</v>
      </c>
      <c r="C101" s="1420"/>
      <c r="D101" s="679">
        <f>+'Bce 8 Columnas'!C59</f>
        <v>275000000</v>
      </c>
      <c r="E101" s="2562"/>
      <c r="F101" s="674">
        <f t="shared" si="11"/>
        <v>275000000</v>
      </c>
    </row>
    <row r="102" spans="2:6">
      <c r="B102" s="678" t="str">
        <f>+'Bce 8 Columnas'!B60</f>
        <v>1-2-10-007 Terrenos</v>
      </c>
      <c r="C102" s="1420">
        <v>11</v>
      </c>
      <c r="D102" s="679">
        <f>+'Bce 8 Columnas'!C60</f>
        <v>480000000</v>
      </c>
      <c r="E102" s="2562">
        <f>+'01 PPE'!F47+'01 PPE'!F53-'01 PPE'!G51</f>
        <v>100000000</v>
      </c>
      <c r="F102" s="674">
        <f t="shared" si="11"/>
        <v>580000000</v>
      </c>
    </row>
    <row r="103" spans="2:6">
      <c r="B103" s="678" t="str">
        <f>+'Bce 8 Columnas'!B61</f>
        <v>1-2-10-054 Planta Productora</v>
      </c>
      <c r="C103" s="1420"/>
      <c r="D103" s="679">
        <f>+'Bce 8 Columnas'!C61</f>
        <v>183000000</v>
      </c>
      <c r="E103" s="2562"/>
      <c r="F103" s="674">
        <f t="shared" si="11"/>
        <v>183000000</v>
      </c>
    </row>
    <row r="104" spans="2:6" ht="38.25">
      <c r="B104" s="678" t="s">
        <v>997</v>
      </c>
      <c r="C104" s="1420" t="s">
        <v>1745</v>
      </c>
      <c r="D104" s="679">
        <f>-'Bce 8 Columnas'!D62</f>
        <v>-77000000</v>
      </c>
      <c r="E104" s="2562">
        <f>+'01 PPE'!F69-'01 PPE'!G114+'01 PPE'!F91-'01 PPE'!G194-'01 PPE'!G210-'01 PPE'!G224</f>
        <v>24841579</v>
      </c>
      <c r="F104" s="674">
        <f t="shared" ref="F104:F108" si="12">+D104+E104</f>
        <v>-52158421</v>
      </c>
    </row>
    <row r="105" spans="2:6">
      <c r="B105" s="678" t="str">
        <f>+'Bce 8 Columnas'!B63</f>
        <v xml:space="preserve">1-2-10-009 Dep. Acum. de Maquinarias y Equipos </v>
      </c>
      <c r="C105" s="1420">
        <v>16</v>
      </c>
      <c r="D105" s="679">
        <f>-'Bce 8 Columnas'!D63</f>
        <v>-5000000</v>
      </c>
      <c r="E105" s="2562">
        <f>+'01 PPE'!F164</f>
        <v>5000000</v>
      </c>
      <c r="F105" s="674">
        <f t="shared" si="12"/>
        <v>0</v>
      </c>
    </row>
    <row r="106" spans="2:6">
      <c r="B106" s="678" t="str">
        <f>+'Bce 8 Columnas'!B64</f>
        <v xml:space="preserve">1-2-10-010 Dep. Acum. de Vehículos </v>
      </c>
      <c r="C106" s="1420">
        <v>20</v>
      </c>
      <c r="D106" s="679">
        <f>-'Bce 8 Columnas'!D64</f>
        <v>-20000000</v>
      </c>
      <c r="E106" s="2562">
        <f>-'01 PPE'!G240</f>
        <v>-666667</v>
      </c>
      <c r="F106" s="674">
        <f t="shared" si="12"/>
        <v>-20666667</v>
      </c>
    </row>
    <row r="107" spans="2:6">
      <c r="B107" s="678" t="str">
        <f>+'Bce 8 Columnas'!B65</f>
        <v>1-2-10-011 Dep. Acum. de Muebles y Enseres</v>
      </c>
      <c r="C107" s="1420">
        <v>15</v>
      </c>
      <c r="D107" s="679">
        <f>-'Bce 8 Columnas'!D65</f>
        <v>-9000000</v>
      </c>
      <c r="E107" s="2562">
        <f>+'01 PPE'!F138</f>
        <v>9000000</v>
      </c>
      <c r="F107" s="674">
        <f t="shared" si="12"/>
        <v>0</v>
      </c>
    </row>
    <row r="108" spans="2:6">
      <c r="B108" s="678" t="str">
        <f>+'Bce 8 Columnas'!B66</f>
        <v>1-2-10-012 Dep. Acum. de Otras Máquinas y Equipos</v>
      </c>
      <c r="C108" s="1420">
        <v>22</v>
      </c>
      <c r="D108" s="679">
        <f>-'Bce 8 Columnas'!D66</f>
        <v>-16000000</v>
      </c>
      <c r="E108" s="2562">
        <f>-'01 PPE'!G272</f>
        <v>-15933333</v>
      </c>
      <c r="F108" s="674">
        <f t="shared" si="12"/>
        <v>-31933333</v>
      </c>
    </row>
    <row r="109" spans="2:6">
      <c r="B109" s="678" t="s">
        <v>1728</v>
      </c>
      <c r="C109" s="1420">
        <v>15</v>
      </c>
      <c r="D109" s="679"/>
      <c r="E109" s="2562">
        <f>+'01 PPE'!F141</f>
        <v>12000000</v>
      </c>
      <c r="F109" s="674">
        <f t="shared" si="11"/>
        <v>12000000</v>
      </c>
    </row>
    <row r="110" spans="2:6">
      <c r="B110" s="678" t="s">
        <v>1729</v>
      </c>
      <c r="C110" s="1420">
        <v>15</v>
      </c>
      <c r="D110" s="679"/>
      <c r="E110" s="2562">
        <f>+'01 PPE'!F142</f>
        <v>6000000</v>
      </c>
      <c r="F110" s="674">
        <f t="shared" si="11"/>
        <v>6000000</v>
      </c>
    </row>
    <row r="111" spans="2:6">
      <c r="B111" s="678" t="s">
        <v>1730</v>
      </c>
      <c r="C111" s="1420">
        <v>15</v>
      </c>
      <c r="D111" s="679"/>
      <c r="E111" s="2562">
        <f>+'01 PPE'!F143</f>
        <v>5000000</v>
      </c>
      <c r="F111" s="674">
        <f t="shared" si="11"/>
        <v>5000000</v>
      </c>
    </row>
    <row r="112" spans="2:6">
      <c r="B112" s="678" t="s">
        <v>1749</v>
      </c>
      <c r="C112" s="1420">
        <v>21</v>
      </c>
      <c r="D112" s="679"/>
      <c r="E112" s="2562">
        <f>-'01 PPE'!G254</f>
        <v>-3040000</v>
      </c>
      <c r="F112" s="674">
        <f t="shared" si="11"/>
        <v>-3040000</v>
      </c>
    </row>
    <row r="113" spans="2:6">
      <c r="B113" s="678" t="s">
        <v>1750</v>
      </c>
      <c r="C113" s="1420">
        <v>21</v>
      </c>
      <c r="D113" s="679"/>
      <c r="E113" s="2562">
        <f>-'01 PPE'!G255</f>
        <v>-1400000</v>
      </c>
      <c r="F113" s="674">
        <f t="shared" si="11"/>
        <v>-1400000</v>
      </c>
    </row>
    <row r="114" spans="2:6">
      <c r="B114" s="678" t="s">
        <v>1751</v>
      </c>
      <c r="C114" s="1420">
        <v>21</v>
      </c>
      <c r="D114" s="679"/>
      <c r="E114" s="2562">
        <f>-'01 PPE'!G256</f>
        <v>-500000</v>
      </c>
      <c r="F114" s="674">
        <f t="shared" si="11"/>
        <v>-500000</v>
      </c>
    </row>
    <row r="115" spans="2:6">
      <c r="B115" s="678" t="s">
        <v>1735</v>
      </c>
      <c r="C115" s="1420">
        <v>16</v>
      </c>
      <c r="D115" s="679"/>
      <c r="E115" s="2562">
        <f>+'01 PPE'!F167</f>
        <v>20000000</v>
      </c>
      <c r="F115" s="674">
        <f>+D115+E115</f>
        <v>20000000</v>
      </c>
    </row>
    <row r="116" spans="2:6">
      <c r="B116" s="678" t="s">
        <v>1736</v>
      </c>
      <c r="C116" s="1420">
        <v>16</v>
      </c>
      <c r="D116" s="679"/>
      <c r="E116" s="2562">
        <f>+'01 PPE'!F168</f>
        <v>8000000</v>
      </c>
      <c r="F116" s="674">
        <f>+D116+E116</f>
        <v>8000000</v>
      </c>
    </row>
    <row r="117" spans="2:6">
      <c r="B117" s="678" t="s">
        <v>1737</v>
      </c>
      <c r="C117" s="1420">
        <v>16</v>
      </c>
      <c r="D117" s="679"/>
      <c r="E117" s="2562">
        <f>+'01 PPE'!F169</f>
        <v>5000000</v>
      </c>
      <c r="F117" s="674">
        <f>+D117+E117</f>
        <v>5000000</v>
      </c>
    </row>
    <row r="118" spans="2:6">
      <c r="B118" s="678" t="s">
        <v>1756</v>
      </c>
      <c r="C118" s="1420">
        <v>23</v>
      </c>
      <c r="D118" s="679"/>
      <c r="E118" s="2562">
        <f>-'01 PPE'!G293</f>
        <v>-4000000</v>
      </c>
      <c r="F118" s="674">
        <f t="shared" ref="F118:F120" si="13">+D118+E118</f>
        <v>-4000000</v>
      </c>
    </row>
    <row r="119" spans="2:6">
      <c r="B119" s="678" t="s">
        <v>1757</v>
      </c>
      <c r="C119" s="1420">
        <v>23</v>
      </c>
      <c r="D119" s="679"/>
      <c r="E119" s="2562">
        <f>-'01 PPE'!G294</f>
        <v>-2400000</v>
      </c>
      <c r="F119" s="674">
        <f t="shared" si="13"/>
        <v>-2400000</v>
      </c>
    </row>
    <row r="120" spans="2:6" ht="13.15" thickBot="1">
      <c r="B120" s="678" t="s">
        <v>1758</v>
      </c>
      <c r="C120" s="1420">
        <v>23</v>
      </c>
      <c r="D120" s="1612"/>
      <c r="E120" s="2562">
        <f>-'01 PPE'!G295</f>
        <v>-600000</v>
      </c>
      <c r="F120" s="686">
        <f t="shared" si="13"/>
        <v>-600000</v>
      </c>
    </row>
    <row r="121" spans="2:6">
      <c r="B121" s="672" t="s">
        <v>823</v>
      </c>
      <c r="C121" s="1064"/>
      <c r="D121" s="687">
        <f>SUM(D97:D120)</f>
        <v>1123000000</v>
      </c>
      <c r="E121" s="674"/>
      <c r="F121" s="688">
        <f>SUM(F97:F120)</f>
        <v>1337301579</v>
      </c>
    </row>
    <row r="122" spans="2:6">
      <c r="B122" s="677"/>
      <c r="C122" s="1063"/>
      <c r="D122" s="668"/>
      <c r="E122" s="669"/>
      <c r="F122" s="669"/>
    </row>
    <row r="123" spans="2:6">
      <c r="B123" s="677" t="str">
        <f>+'Bce 8 Columnas'!B58</f>
        <v>1-2-10-005 Activos en Leasing</v>
      </c>
      <c r="C123" s="1063"/>
      <c r="D123" s="1611">
        <f>+'Bce 8 Columnas'!C58</f>
        <v>365463848</v>
      </c>
      <c r="E123" s="669"/>
      <c r="F123" s="669">
        <f>+D123+E123</f>
        <v>365463848</v>
      </c>
    </row>
    <row r="124" spans="2:6">
      <c r="B124" s="677" t="str">
        <f>+'Bce 8 Columnas'!B67</f>
        <v>1-2-10-013 Dep. Acum. de Activos en Leasing</v>
      </c>
      <c r="C124" s="1063"/>
      <c r="D124" s="1611">
        <f>-'Bce 8 Columnas'!D67</f>
        <v>-3767669</v>
      </c>
      <c r="E124" s="669"/>
      <c r="F124" s="669">
        <f t="shared" ref="F124:F126" si="14">+D124+E124</f>
        <v>-3767669</v>
      </c>
    </row>
    <row r="125" spans="2:6">
      <c r="B125" s="677"/>
      <c r="C125" s="1063"/>
      <c r="D125" s="668"/>
      <c r="E125" s="669"/>
      <c r="F125" s="669">
        <f t="shared" si="14"/>
        <v>0</v>
      </c>
    </row>
    <row r="126" spans="2:6" ht="13.15" thickBot="1">
      <c r="B126" s="677"/>
      <c r="C126" s="1063"/>
      <c r="D126" s="689"/>
      <c r="E126" s="669"/>
      <c r="F126" s="692">
        <f t="shared" si="14"/>
        <v>0</v>
      </c>
    </row>
    <row r="127" spans="2:6">
      <c r="B127" s="672" t="s">
        <v>1467</v>
      </c>
      <c r="C127" s="1064"/>
      <c r="D127" s="687">
        <f>SUM(D123:D126)</f>
        <v>361696179</v>
      </c>
      <c r="E127" s="674"/>
      <c r="F127" s="688">
        <f>+D127+E127</f>
        <v>361696179</v>
      </c>
    </row>
    <row r="128" spans="2:6">
      <c r="B128" s="677"/>
      <c r="C128" s="1063"/>
      <c r="D128" s="668"/>
      <c r="E128" s="669"/>
      <c r="F128" s="669"/>
    </row>
    <row r="129" spans="2:6" ht="13.15" thickBot="1">
      <c r="B129" s="678" t="str">
        <f>+'Bce 8 Columnas'!B68</f>
        <v>1-2-15-001 Activos por Impuestos diferidos</v>
      </c>
      <c r="C129" s="1065"/>
      <c r="D129" s="685">
        <f>+'Bce 8 Columnas'!D68</f>
        <v>0</v>
      </c>
      <c r="E129" s="674"/>
      <c r="F129" s="686">
        <f>+D129+E129</f>
        <v>0</v>
      </c>
    </row>
    <row r="130" spans="2:6">
      <c r="B130" s="672" t="s">
        <v>824</v>
      </c>
      <c r="C130" s="1064"/>
      <c r="D130" s="673">
        <f>SUM(D129)</f>
        <v>0</v>
      </c>
      <c r="E130" s="674"/>
      <c r="F130" s="688">
        <f>SUM(F129)</f>
        <v>0</v>
      </c>
    </row>
    <row r="131" spans="2:6" ht="13.15" thickBot="1">
      <c r="B131" s="677"/>
      <c r="C131" s="1063"/>
      <c r="D131" s="668"/>
      <c r="E131" s="669"/>
      <c r="F131" s="669"/>
    </row>
    <row r="132" spans="2:6" ht="13.15" thickBot="1">
      <c r="B132" s="1201" t="s">
        <v>11</v>
      </c>
      <c r="C132" s="1202"/>
      <c r="D132" s="1203">
        <f>+D130+D127+D121+D95+D91+D85+D76+D74+D72+D68+D64+D62+D59+D54+D49+D47+D37+D30+D22</f>
        <v>4897614180</v>
      </c>
      <c r="E132" s="1204">
        <f>SUM(E9:E131)</f>
        <v>131601579</v>
      </c>
      <c r="F132" s="1203">
        <f>+F130+F127+F121+F95+F91+F85+F76+F74+F72+F68+F64+F62+F59+F54+F49+F47+F37+F30+F22</f>
        <v>5029215759</v>
      </c>
    </row>
    <row r="133" spans="2:6" ht="13.15" thickBot="1">
      <c r="B133" s="689"/>
      <c r="C133" s="1066"/>
      <c r="D133" s="689"/>
      <c r="E133" s="692"/>
      <c r="F133" s="692"/>
    </row>
    <row r="134" spans="2:6">
      <c r="F134" s="1794">
        <f>+D132-F132</f>
        <v>-131601579</v>
      </c>
    </row>
    <row r="135" spans="2:6">
      <c r="B135" s="693"/>
      <c r="C135" s="1067"/>
    </row>
    <row r="136" spans="2:6" ht="13.15" thickBot="1">
      <c r="B136" s="694"/>
      <c r="C136" s="1067"/>
    </row>
    <row r="137" spans="2:6" ht="14.25">
      <c r="B137" s="1193"/>
      <c r="C137" s="1194"/>
      <c r="D137" s="1195"/>
      <c r="E137" s="1195"/>
      <c r="F137" s="1642" t="s">
        <v>1472</v>
      </c>
    </row>
    <row r="138" spans="2:6" ht="13.5">
      <c r="B138" s="1196" t="s">
        <v>806</v>
      </c>
      <c r="C138" s="1196"/>
      <c r="D138" s="1197" t="s">
        <v>936</v>
      </c>
      <c r="E138" s="1197" t="s">
        <v>115</v>
      </c>
      <c r="F138" s="1197" t="s">
        <v>1638</v>
      </c>
    </row>
    <row r="139" spans="2:6" ht="13.9" thickBot="1">
      <c r="B139" s="1198"/>
      <c r="C139" s="1199"/>
      <c r="D139" s="1200"/>
      <c r="E139" s="1200"/>
      <c r="F139" s="1200"/>
    </row>
    <row r="140" spans="2:6" ht="13.5">
      <c r="B140" s="761"/>
      <c r="C140" s="758"/>
      <c r="D140" s="757"/>
      <c r="E140" s="757"/>
      <c r="F140" s="757"/>
    </row>
    <row r="141" spans="2:6">
      <c r="B141" s="1115" t="s">
        <v>871</v>
      </c>
      <c r="C141" s="1116"/>
      <c r="D141" s="1117"/>
      <c r="E141" s="1117"/>
      <c r="F141" s="1117"/>
    </row>
    <row r="142" spans="2:6" ht="13.5">
      <c r="B142" s="1118"/>
      <c r="C142" s="1119"/>
      <c r="D142" s="757"/>
      <c r="E142" s="757"/>
      <c r="F142" s="757"/>
    </row>
    <row r="143" spans="2:6">
      <c r="B143" s="1120" t="str">
        <f>+'Bce 8 Columnas'!B94</f>
        <v>3-1-01-001 Ventas</v>
      </c>
      <c r="C143" s="1121"/>
      <c r="D143" s="1122">
        <f>+'Bce 8 Columnas'!F94</f>
        <v>1440725811</v>
      </c>
      <c r="E143" s="1122"/>
      <c r="F143" s="1122">
        <f>+D143+E143</f>
        <v>1440725811</v>
      </c>
    </row>
    <row r="144" spans="2:6" ht="13.15" thickBot="1">
      <c r="B144" s="1120" t="str">
        <f>+'Bce 8 Columnas'!B95</f>
        <v>3-1-01-002 Descuentos Otorgados</v>
      </c>
      <c r="C144" s="1121"/>
      <c r="D144" s="1123">
        <f>-'Bce 8 Columnas'!E95</f>
        <v>-20000000</v>
      </c>
      <c r="E144" s="1123"/>
      <c r="F144" s="1123">
        <f>+D144+E144</f>
        <v>-20000000</v>
      </c>
    </row>
    <row r="145" spans="2:6">
      <c r="B145" s="1115" t="s">
        <v>872</v>
      </c>
      <c r="C145" s="1116"/>
      <c r="D145" s="1124">
        <f>SUM(D143:D144)</f>
        <v>1420725811</v>
      </c>
      <c r="E145" s="1124"/>
      <c r="F145" s="1124">
        <f>SUM(F143:F144)</f>
        <v>1420725811</v>
      </c>
    </row>
    <row r="146" spans="2:6" ht="13.5">
      <c r="B146" s="1118"/>
      <c r="C146" s="1119"/>
      <c r="D146" s="757"/>
      <c r="E146" s="757"/>
      <c r="F146" s="757"/>
    </row>
    <row r="147" spans="2:6" ht="13.15" thickBot="1">
      <c r="B147" s="1120" t="str">
        <f>+'Bce 8 Columnas'!B96</f>
        <v>4-1-01-001 Costo de Venta</v>
      </c>
      <c r="C147" s="1121"/>
      <c r="D147" s="1123">
        <f>-'Bce 8 Columnas'!E96</f>
        <v>-182662912</v>
      </c>
      <c r="E147" s="1123"/>
      <c r="F147" s="1123">
        <f>+D147+E147</f>
        <v>-182662912</v>
      </c>
    </row>
    <row r="148" spans="2:6">
      <c r="B148" s="1115" t="s">
        <v>873</v>
      </c>
      <c r="C148" s="1116"/>
      <c r="D148" s="1124">
        <f>SUM(D147)</f>
        <v>-182662912</v>
      </c>
      <c r="E148" s="1124"/>
      <c r="F148" s="1124">
        <f>SUM(F147)</f>
        <v>-182662912</v>
      </c>
    </row>
    <row r="149" spans="2:6" ht="13.5">
      <c r="B149" s="1118"/>
      <c r="C149" s="1119"/>
      <c r="D149" s="757"/>
      <c r="E149" s="757"/>
      <c r="F149" s="757"/>
    </row>
    <row r="150" spans="2:6">
      <c r="B150" s="1120" t="str">
        <f>+'Bce 8 Columnas'!B104</f>
        <v>4-1-03-002 Gastos por Arriendos</v>
      </c>
      <c r="C150" s="1121"/>
      <c r="D150" s="1122">
        <f>-'Bce 8 Columnas'!E104</f>
        <v>-41995878</v>
      </c>
      <c r="E150" s="1122"/>
      <c r="F150" s="1122">
        <f t="shared" ref="F150:F155" si="15">+D150+E150</f>
        <v>-41995878</v>
      </c>
    </row>
    <row r="151" spans="2:6">
      <c r="B151" s="1120" t="str">
        <f>+'Bce 8 Columnas'!B105</f>
        <v>4-1-03-003 Servicios Básicos</v>
      </c>
      <c r="C151" s="1121">
        <v>2</v>
      </c>
      <c r="D151" s="1122">
        <f>-'Bce 8 Columnas'!E105</f>
        <v>-3500000</v>
      </c>
      <c r="E151" s="1122">
        <f>-'00 Ajustes Iniciales'!F26</f>
        <v>-700000</v>
      </c>
      <c r="F151" s="1122">
        <f t="shared" si="15"/>
        <v>-4200000</v>
      </c>
    </row>
    <row r="152" spans="2:6">
      <c r="B152" s="1120" t="str">
        <f>+'Bce 8 Columnas'!B106</f>
        <v>4-1-03-004 Gastos Arriendo Impresora</v>
      </c>
      <c r="C152" s="1121"/>
      <c r="D152" s="1122">
        <f>-'Bce 8 Columnas'!E106</f>
        <v>-1350000</v>
      </c>
      <c r="E152" s="1122"/>
      <c r="F152" s="1122">
        <f t="shared" si="15"/>
        <v>-1350000</v>
      </c>
    </row>
    <row r="153" spans="2:6">
      <c r="B153" s="1120" t="str">
        <f>+'Bce 8 Columnas'!B107</f>
        <v>4-1-03-005 Publicidad</v>
      </c>
      <c r="C153" s="1121"/>
      <c r="D153" s="1122">
        <f>-'Bce 8 Columnas'!E107</f>
        <v>-2000000</v>
      </c>
      <c r="E153" s="1122"/>
      <c r="F153" s="1122">
        <f t="shared" si="15"/>
        <v>-2000000</v>
      </c>
    </row>
    <row r="154" spans="2:6">
      <c r="B154" s="1120" t="str">
        <f>+'Bce 8 Columnas'!B108</f>
        <v>4-1-03-006 Asesoría Contable</v>
      </c>
      <c r="C154" s="1121"/>
      <c r="D154" s="1122">
        <f>-'Bce 8 Columnas'!E108</f>
        <v>-6000000</v>
      </c>
      <c r="E154" s="1122"/>
      <c r="F154" s="1122">
        <f t="shared" si="15"/>
        <v>-6000000</v>
      </c>
    </row>
    <row r="155" spans="2:6">
      <c r="B155" s="1120" t="str">
        <f>+'Bce 8 Columnas'!B109</f>
        <v>4-1-03-007 Asesoría Legal</v>
      </c>
      <c r="C155" s="1121"/>
      <c r="D155" s="1122">
        <f>-'Bce 8 Columnas'!E109</f>
        <v>-2000000</v>
      </c>
      <c r="E155" s="1122"/>
      <c r="F155" s="1122">
        <f t="shared" si="15"/>
        <v>-2000000</v>
      </c>
    </row>
    <row r="156" spans="2:6" ht="13.15" thickBot="1">
      <c r="B156" s="1120"/>
      <c r="C156" s="1121"/>
      <c r="D156" s="1122"/>
      <c r="E156" s="1122"/>
      <c r="F156" s="1122"/>
    </row>
    <row r="157" spans="2:6">
      <c r="B157" s="1115" t="s">
        <v>874</v>
      </c>
      <c r="C157" s="1116"/>
      <c r="D157" s="1124">
        <f>SUM(D150:D156)</f>
        <v>-56845878</v>
      </c>
      <c r="E157" s="1124"/>
      <c r="F157" s="1124">
        <f>SUM(F150:F156)</f>
        <v>-57545878</v>
      </c>
    </row>
    <row r="158" spans="2:6" ht="13.5">
      <c r="B158" s="1118"/>
      <c r="C158" s="1119"/>
      <c r="D158" s="757"/>
      <c r="E158" s="757"/>
      <c r="F158" s="757"/>
    </row>
    <row r="159" spans="2:6">
      <c r="B159" s="1120" t="str">
        <f>+'Bce 8 Columnas'!B97</f>
        <v>4-1-02-001 Remuneraciones</v>
      </c>
      <c r="C159" s="1121"/>
      <c r="D159" s="1122">
        <f>-'Bce 8 Columnas'!E97</f>
        <v>-320000000</v>
      </c>
      <c r="E159" s="1122"/>
      <c r="F159" s="1122">
        <f t="shared" ref="F159:F165" si="16">+D159+E159</f>
        <v>-320000000</v>
      </c>
    </row>
    <row r="160" spans="2:6">
      <c r="B160" s="1120" t="str">
        <f>+'Bce 8 Columnas'!B98</f>
        <v>4-1-02-002 Gratificaciones</v>
      </c>
      <c r="C160" s="1121"/>
      <c r="D160" s="1122">
        <f>-'Bce 8 Columnas'!E98</f>
        <v>-55000000</v>
      </c>
      <c r="E160" s="1122"/>
      <c r="F160" s="1122">
        <f t="shared" si="16"/>
        <v>-55000000</v>
      </c>
    </row>
    <row r="161" spans="2:6">
      <c r="B161" s="1120" t="str">
        <f>+'Bce 8 Columnas'!B99</f>
        <v xml:space="preserve">4-1-02-003 Colación </v>
      </c>
      <c r="C161" s="1121"/>
      <c r="D161" s="1122">
        <f>-'Bce 8 Columnas'!E99</f>
        <v>-12000000</v>
      </c>
      <c r="E161" s="1122"/>
      <c r="F161" s="1122">
        <f t="shared" si="16"/>
        <v>-12000000</v>
      </c>
    </row>
    <row r="162" spans="2:6">
      <c r="B162" s="1120" t="str">
        <f>+'Bce 8 Columnas'!B100</f>
        <v>4-1-02-004 Movilización</v>
      </c>
      <c r="C162" s="1121">
        <v>4</v>
      </c>
      <c r="D162" s="1122">
        <f>-'Bce 8 Columnas'!E100</f>
        <v>-12000000</v>
      </c>
      <c r="E162" s="1122">
        <f>-'00 Ajustes Iniciales'!F52</f>
        <v>-27000000</v>
      </c>
      <c r="F162" s="1122">
        <f t="shared" si="16"/>
        <v>-39000000</v>
      </c>
    </row>
    <row r="163" spans="2:6">
      <c r="B163" s="1120" t="str">
        <f>+'Bce 8 Columnas'!B101</f>
        <v>4-1-02-005 Capacitación</v>
      </c>
      <c r="C163" s="1121"/>
      <c r="D163" s="1122">
        <f>-'Bce 8 Columnas'!E101</f>
        <v>-5000000</v>
      </c>
      <c r="E163" s="1122"/>
      <c r="F163" s="1122">
        <f t="shared" si="16"/>
        <v>-5000000</v>
      </c>
    </row>
    <row r="164" spans="2:6">
      <c r="B164" s="1120" t="str">
        <f>+'Bce 8 Columnas'!B102</f>
        <v>4-1-02-006 Vacaciones</v>
      </c>
      <c r="C164" s="1121">
        <v>9</v>
      </c>
      <c r="D164" s="1122">
        <f>-'Bce 8 Columnas'!E102</f>
        <v>-18000000</v>
      </c>
      <c r="E164" s="1122">
        <f>-'00 Ajustes Iniciales'!F117</f>
        <v>-7000000</v>
      </c>
      <c r="F164" s="1122">
        <f t="shared" si="16"/>
        <v>-25000000</v>
      </c>
    </row>
    <row r="165" spans="2:6" ht="13.15" thickBot="1">
      <c r="B165" s="1120" t="str">
        <f>+'Bce 8 Columnas'!B103</f>
        <v>4-1-03-001 Honorarios</v>
      </c>
      <c r="C165" s="1121"/>
      <c r="D165" s="1122">
        <f>-'Bce 8 Columnas'!E103</f>
        <v>-30000000</v>
      </c>
      <c r="E165" s="1122"/>
      <c r="F165" s="1122">
        <f t="shared" si="16"/>
        <v>-30000000</v>
      </c>
    </row>
    <row r="166" spans="2:6">
      <c r="B166" s="1115" t="s">
        <v>875</v>
      </c>
      <c r="C166" s="1116"/>
      <c r="D166" s="1124">
        <f>SUM(D159:D165)</f>
        <v>-452000000</v>
      </c>
      <c r="E166" s="1124"/>
      <c r="F166" s="1124">
        <f>SUM(F159:F165)</f>
        <v>-486000000</v>
      </c>
    </row>
    <row r="167" spans="2:6" ht="13.5">
      <c r="B167" s="1118"/>
      <c r="C167" s="1119"/>
      <c r="D167" s="757"/>
      <c r="E167" s="757"/>
      <c r="F167" s="757"/>
    </row>
    <row r="168" spans="2:6">
      <c r="B168" s="1120" t="str">
        <f>+'Bce 8 Columnas'!B111</f>
        <v>4-1-07-001 Depreciación Activos en Leasing</v>
      </c>
      <c r="C168" s="1121"/>
      <c r="D168" s="1122">
        <f>-'Bce 8 Columnas'!E111</f>
        <v>-3767669</v>
      </c>
      <c r="E168" s="1122"/>
      <c r="F168" s="1122">
        <f>+D168+E168</f>
        <v>-3767669</v>
      </c>
    </row>
    <row r="169" spans="2:6">
      <c r="B169" s="1120" t="str">
        <f>+'Bce 8 Columnas'!B112</f>
        <v>4-1-07-002 Depreciación Maquinarias y Equipos</v>
      </c>
      <c r="C169" s="1121">
        <v>23</v>
      </c>
      <c r="D169" s="1122">
        <f>-'Bce 8 Columnas'!E112</f>
        <v>0</v>
      </c>
      <c r="E169" s="1122">
        <f>-'01 PPE'!F291</f>
        <v>-636400</v>
      </c>
      <c r="F169" s="1122">
        <f>+D169+E169</f>
        <v>-636400</v>
      </c>
    </row>
    <row r="170" spans="2:6">
      <c r="B170" s="1120" t="s">
        <v>1754</v>
      </c>
      <c r="C170" s="1121">
        <v>22</v>
      </c>
      <c r="D170" s="1122"/>
      <c r="E170" s="1122">
        <f>-'01 PPE'!F271</f>
        <v>-15933333</v>
      </c>
      <c r="F170" s="1122">
        <f>+D170+E170</f>
        <v>-15933333</v>
      </c>
    </row>
    <row r="171" spans="2:6">
      <c r="B171" s="1120" t="str">
        <f>+'Bce 8 Columnas'!B113</f>
        <v>4-1-07-003 Depreciación Muebles y Enseres</v>
      </c>
      <c r="C171" s="1121">
        <v>21</v>
      </c>
      <c r="D171" s="1122">
        <f>-'Bce 8 Columnas'!E113</f>
        <v>0</v>
      </c>
      <c r="E171" s="1122">
        <f>-'01 PPE'!F253</f>
        <v>-4940000</v>
      </c>
      <c r="F171" s="1122">
        <f>+D171+E171</f>
        <v>-4940000</v>
      </c>
    </row>
    <row r="172" spans="2:6">
      <c r="B172" s="1120" t="str">
        <f>+'Bce 8 Columnas'!B114</f>
        <v>4-1-07-004 Depreciación Edificios</v>
      </c>
      <c r="C172" s="1121" t="s">
        <v>1746</v>
      </c>
      <c r="D172" s="1122">
        <f>-'Bce 8 Columnas'!E114</f>
        <v>0</v>
      </c>
      <c r="E172" s="1122">
        <f>-'01 PPE'!F192-'01 PPE'!F208-'01 PPE'!F223</f>
        <v>-1718421</v>
      </c>
      <c r="F172" s="1122">
        <f>+D172+E172</f>
        <v>-1718421</v>
      </c>
    </row>
    <row r="173" spans="2:6">
      <c r="B173" s="1120" t="str">
        <f>+'Bce 8 Columnas'!B115</f>
        <v>4-1-07-005 Depreciación Edificios en Arriendo</v>
      </c>
      <c r="C173" s="1121"/>
      <c r="D173" s="1122">
        <f>-'Bce 8 Columnas'!E115</f>
        <v>0</v>
      </c>
      <c r="E173" s="1122"/>
      <c r="F173" s="1122">
        <f>+D173+E173</f>
        <v>0</v>
      </c>
    </row>
    <row r="174" spans="2:6">
      <c r="B174" s="1120" t="s">
        <v>1720</v>
      </c>
      <c r="C174" s="1121" t="s">
        <v>1726</v>
      </c>
      <c r="D174" s="1122"/>
      <c r="E174" s="1122">
        <f>-'01 PPE'!F50-'01 PPE'!F113</f>
        <v>-100000000</v>
      </c>
      <c r="F174" s="1122">
        <f>+D174+E174</f>
        <v>-100000000</v>
      </c>
    </row>
    <row r="175" spans="2:6" ht="13.15" thickBot="1">
      <c r="B175" s="1120" t="s">
        <v>1747</v>
      </c>
      <c r="C175" s="1121">
        <v>20</v>
      </c>
      <c r="D175" s="1122"/>
      <c r="E175" s="1122">
        <f>-'01 PPE'!F239</f>
        <v>-666667</v>
      </c>
      <c r="F175" s="1122">
        <f>+D175+E175</f>
        <v>-666667</v>
      </c>
    </row>
    <row r="176" spans="2:6" ht="25.5">
      <c r="B176" s="1115" t="s">
        <v>876</v>
      </c>
      <c r="C176" s="1116"/>
      <c r="D176" s="1124">
        <f>SUM(D168:D175)</f>
        <v>-3767669</v>
      </c>
      <c r="E176" s="1124"/>
      <c r="F176" s="1124">
        <f>SUM(F168:F175)</f>
        <v>-127662490</v>
      </c>
    </row>
    <row r="177" spans="2:6" ht="13.5">
      <c r="B177" s="1118"/>
      <c r="C177" s="1119"/>
      <c r="D177" s="757"/>
      <c r="E177" s="757"/>
      <c r="F177" s="757"/>
    </row>
    <row r="178" spans="2:6">
      <c r="B178" s="1120" t="str">
        <f>+'Bce 8 Columnas'!B116</f>
        <v>4-1-09-001 Interese y Multas sobre Impuestos</v>
      </c>
      <c r="C178" s="1121"/>
      <c r="D178" s="1122">
        <f>-'Bce 8 Columnas'!E116</f>
        <v>-1200000</v>
      </c>
      <c r="E178" s="1122"/>
      <c r="F178" s="1122">
        <f>+D178+E178</f>
        <v>-1200000</v>
      </c>
    </row>
    <row r="179" spans="2:6">
      <c r="B179" s="1120" t="str">
        <f>+'Bce 8 Columnas'!B117</f>
        <v>4-1-09-002 Castigo Activos Fijos</v>
      </c>
      <c r="C179" s="1121"/>
      <c r="D179" s="1122">
        <f>-'Bce 8 Columnas'!E117</f>
        <v>-5000000</v>
      </c>
      <c r="E179" s="1122"/>
      <c r="F179" s="1122">
        <f>+D179+E179</f>
        <v>-5000000</v>
      </c>
    </row>
    <row r="180" spans="2:6">
      <c r="B180" s="1120" t="str">
        <f>+'Bce 8 Columnas'!B118</f>
        <v>4-1-09-003 Venta de Activos Fijos</v>
      </c>
      <c r="C180" s="1121"/>
      <c r="D180" s="1122">
        <f>+'Bce 8 Columnas'!F118</f>
        <v>0</v>
      </c>
      <c r="E180" s="1122"/>
      <c r="F180" s="1122">
        <f>+D180+E180</f>
        <v>0</v>
      </c>
    </row>
    <row r="181" spans="2:6" ht="13.15" thickBot="1">
      <c r="B181" s="1120" t="str">
        <f>+'Bce 8 Columnas'!B131</f>
        <v>4-1-13-003 Gastos Rechazados</v>
      </c>
      <c r="C181" s="1121"/>
      <c r="D181" s="1122">
        <f>-'Bce 8 Columnas'!E131</f>
        <v>-20000000</v>
      </c>
      <c r="E181" s="1122"/>
      <c r="F181" s="1122">
        <f>+D181+E181</f>
        <v>-20000000</v>
      </c>
    </row>
    <row r="182" spans="2:6">
      <c r="B182" s="1115" t="s">
        <v>877</v>
      </c>
      <c r="C182" s="1116"/>
      <c r="D182" s="1766">
        <f>SUM(D178:D181)</f>
        <v>-26200000</v>
      </c>
      <c r="E182" s="1766"/>
      <c r="F182" s="1766">
        <f>SUM(F178:F181)</f>
        <v>-26200000</v>
      </c>
    </row>
    <row r="183" spans="2:6" ht="13.5">
      <c r="B183" s="1118"/>
      <c r="C183" s="1119"/>
      <c r="D183" s="757"/>
      <c r="E183" s="757"/>
      <c r="F183" s="757"/>
    </row>
    <row r="184" spans="2:6" ht="13.9" thickBot="1">
      <c r="B184" s="1118" t="str">
        <f>+'Bce 8 Columnas'!B121</f>
        <v>3-1-08-001 Utilidad Empresa Relacionada</v>
      </c>
      <c r="C184" s="1119"/>
      <c r="D184" s="1769">
        <f>+'Bce 8 Columnas'!F121</f>
        <v>143250000</v>
      </c>
      <c r="E184" s="763"/>
      <c r="F184" s="1769">
        <f>+D184+E184</f>
        <v>143250000</v>
      </c>
    </row>
    <row r="185" spans="2:6" ht="25.5">
      <c r="B185" s="1115" t="s">
        <v>1022</v>
      </c>
      <c r="C185" s="1116"/>
      <c r="D185" s="1768">
        <f>SUM(D184)</f>
        <v>143250000</v>
      </c>
      <c r="E185" s="1117"/>
      <c r="F185" s="1768">
        <f>SUM(F184)</f>
        <v>143250000</v>
      </c>
    </row>
    <row r="186" spans="2:6" ht="13.5">
      <c r="B186" s="1118"/>
      <c r="C186" s="1119"/>
      <c r="D186" s="757"/>
      <c r="E186" s="757"/>
      <c r="F186" s="757"/>
    </row>
    <row r="187" spans="2:6">
      <c r="B187" s="1120" t="str">
        <f>+'Bce 8 Columnas'!B119</f>
        <v>3-1-04-001 Intereses Ganados por Depositos a Plazo</v>
      </c>
      <c r="C187" s="1121"/>
      <c r="D187" s="1122">
        <f>+'Bce 8 Columnas'!F119</f>
        <v>3500000</v>
      </c>
      <c r="E187" s="1122"/>
      <c r="F187" s="1122">
        <f>+D187+E187</f>
        <v>3500000</v>
      </c>
    </row>
    <row r="188" spans="2:6">
      <c r="B188" s="1120" t="str">
        <f>+'Bce 8 Columnas'!B120</f>
        <v>3-1-04-002 Intereses Ganados Fondos Mutuos</v>
      </c>
      <c r="C188" s="1121"/>
      <c r="D188" s="1122">
        <f>+'Bce 8 Columnas'!F120</f>
        <v>1500000</v>
      </c>
      <c r="E188" s="1122"/>
      <c r="F188" s="1122">
        <f>+D188+E188</f>
        <v>1500000</v>
      </c>
    </row>
    <row r="189" spans="2:6">
      <c r="B189" s="1120" t="str">
        <f>+'Bce 8 Columnas'!B129</f>
        <v>4-1-13-001 Ganancia Valor Razonable</v>
      </c>
      <c r="C189" s="1121"/>
      <c r="D189" s="1122">
        <f>+'Bce 8 Columnas'!F129</f>
        <v>235600000</v>
      </c>
      <c r="E189" s="1122"/>
      <c r="F189" s="1122">
        <f>+D189+E189</f>
        <v>235600000</v>
      </c>
    </row>
    <row r="190" spans="2:6" ht="13.15" thickBot="1">
      <c r="B190" s="1120" t="str">
        <f>+'Bce 8 Columnas'!B130</f>
        <v>4-1-13-002 Pérdida Valor Razonable</v>
      </c>
      <c r="C190" s="1121"/>
      <c r="D190" s="1767">
        <f>-'Bce 8 Columnas'!E130</f>
        <v>-76000000</v>
      </c>
      <c r="E190" s="1767"/>
      <c r="F190" s="1767">
        <f>+D190+E190</f>
        <v>-76000000</v>
      </c>
    </row>
    <row r="191" spans="2:6">
      <c r="B191" s="1115" t="s">
        <v>878</v>
      </c>
      <c r="C191" s="1116"/>
      <c r="D191" s="1765">
        <f>SUM(D187:D190)</f>
        <v>164600000</v>
      </c>
      <c r="E191" s="1765"/>
      <c r="F191" s="1765">
        <f>SUM(F187:F190)</f>
        <v>164600000</v>
      </c>
    </row>
    <row r="192" spans="2:6" ht="13.5">
      <c r="B192" s="1118"/>
      <c r="C192" s="1119"/>
      <c r="D192" s="757"/>
      <c r="E192" s="757"/>
      <c r="F192" s="757"/>
    </row>
    <row r="193" spans="2:8">
      <c r="B193" s="1120" t="str">
        <f>+'Bce 8 Columnas'!B122</f>
        <v>4-1-10-001 Intereses Pagados por Préstamos</v>
      </c>
      <c r="C193" s="1121">
        <v>6</v>
      </c>
      <c r="D193" s="1122">
        <f>-'Bce 8 Columnas'!E122</f>
        <v>-60000000</v>
      </c>
      <c r="E193" s="1122">
        <f>-'00 Ajustes Iniciales'!F78</f>
        <v>-1000000</v>
      </c>
      <c r="F193" s="1122">
        <f>+D193+E193</f>
        <v>-61000000</v>
      </c>
    </row>
    <row r="194" spans="2:8">
      <c r="B194" s="1120" t="str">
        <f>+'Bce 8 Columnas'!B123</f>
        <v>4-1-10-002 Intereses Pagados por Leasing</v>
      </c>
      <c r="C194" s="1121"/>
      <c r="D194" s="1122">
        <f>-'Bce 8 Columnas'!E123</f>
        <v>-3450587</v>
      </c>
      <c r="E194" s="1122"/>
      <c r="F194" s="1122">
        <f>+D194+E194</f>
        <v>-3450587</v>
      </c>
    </row>
    <row r="195" spans="2:8" ht="13.15" thickBot="1">
      <c r="B195" s="1120" t="str">
        <f>+'Bce 8 Columnas'!B124</f>
        <v>4-1-10-003 Intereses Pagados por Linea de Credito</v>
      </c>
      <c r="C195" s="1121"/>
      <c r="D195" s="1122">
        <f>-'Bce 8 Columnas'!E124</f>
        <v>-5600000</v>
      </c>
      <c r="E195" s="1122"/>
      <c r="F195" s="1122">
        <f>+D195+E195</f>
        <v>-5600000</v>
      </c>
    </row>
    <row r="196" spans="2:8">
      <c r="B196" s="1115" t="s">
        <v>879</v>
      </c>
      <c r="C196" s="1116"/>
      <c r="D196" s="1124">
        <f>SUM(D193:D195)</f>
        <v>-69050587</v>
      </c>
      <c r="E196" s="1124"/>
      <c r="F196" s="1124">
        <f>SUM(F193:F195)</f>
        <v>-70050587</v>
      </c>
    </row>
    <row r="197" spans="2:8" ht="13.5">
      <c r="B197" s="1118"/>
      <c r="C197" s="1119"/>
      <c r="D197" s="757"/>
      <c r="E197" s="757"/>
      <c r="F197" s="757"/>
    </row>
    <row r="198" spans="2:8" ht="13.15" thickBot="1">
      <c r="B198" s="1120" t="str">
        <f>+'Bce 8 Columnas'!B110</f>
        <v>4-1-05-001 Deudores Incobrables</v>
      </c>
      <c r="C198" s="1121"/>
      <c r="D198" s="1123">
        <f>-'Bce 8 Columnas'!E110</f>
        <v>-39021000</v>
      </c>
      <c r="E198" s="1123"/>
      <c r="F198" s="1123">
        <f>+D198+E198</f>
        <v>-39021000</v>
      </c>
    </row>
    <row r="199" spans="2:8">
      <c r="B199" s="1115" t="s">
        <v>880</v>
      </c>
      <c r="C199" s="1116"/>
      <c r="D199" s="1124">
        <f>SUM(D198)</f>
        <v>-39021000</v>
      </c>
      <c r="E199" s="1124"/>
      <c r="F199" s="1124">
        <f>SUM(F198)</f>
        <v>-39021000</v>
      </c>
    </row>
    <row r="200" spans="2:8" ht="13.5">
      <c r="B200" s="1118"/>
      <c r="C200" s="1119"/>
      <c r="D200" s="757"/>
      <c r="E200" s="757"/>
      <c r="F200" s="757"/>
    </row>
    <row r="201" spans="2:8">
      <c r="B201" s="1120" t="str">
        <f>+'Bce 8 Columnas'!B126</f>
        <v>4-1-12-008 Corrección Monetaria Existencias</v>
      </c>
      <c r="C201" s="1121"/>
      <c r="D201" s="1122">
        <f>+'Bce 8 Columnas'!F126</f>
        <v>72056727</v>
      </c>
      <c r="E201" s="1122"/>
      <c r="F201" s="1122">
        <f>+D201+E201</f>
        <v>72056727</v>
      </c>
      <c r="H201" s="657"/>
    </row>
    <row r="202" spans="2:8">
      <c r="B202" s="1988" t="str">
        <f>+'Bce 8 Columnas'!B127</f>
        <v>4-1-12-009 Corrección Monetaria Patrimonio</v>
      </c>
      <c r="C202" s="1989">
        <v>10</v>
      </c>
      <c r="D202" s="1990">
        <f>-'Bce 8 Columnas'!E127</f>
        <v>-31500000</v>
      </c>
      <c r="E202" s="1990">
        <f>+'00 Ajustes Iniciales'!G131</f>
        <v>31500000</v>
      </c>
      <c r="F202" s="1990">
        <f>+D202+E202</f>
        <v>0</v>
      </c>
      <c r="H202" s="657"/>
    </row>
    <row r="203" spans="2:8">
      <c r="B203" s="1120" t="str">
        <f>+'Bce 8 Columnas'!B128</f>
        <v>4-1-12-010 Corrección Monetaria PPM</v>
      </c>
      <c r="C203" s="1121"/>
      <c r="D203" s="1122">
        <f>+'Bce 8 Columnas'!F128</f>
        <v>2629000</v>
      </c>
      <c r="E203" s="1122"/>
      <c r="F203" s="1122">
        <f>+D203</f>
        <v>2629000</v>
      </c>
      <c r="H203" s="657"/>
    </row>
    <row r="204" spans="2:8" ht="13.15" thickBot="1">
      <c r="B204" s="1120"/>
      <c r="C204" s="1121"/>
      <c r="D204" s="1123"/>
      <c r="E204" s="1123"/>
      <c r="F204" s="1123">
        <f>+D204+E204</f>
        <v>0</v>
      </c>
    </row>
    <row r="205" spans="2:8">
      <c r="B205" s="1115" t="s">
        <v>881</v>
      </c>
      <c r="C205" s="1116"/>
      <c r="D205" s="1124">
        <f>SUM(D201:D204)</f>
        <v>43185727</v>
      </c>
      <c r="E205" s="1124"/>
      <c r="F205" s="1124">
        <f>SUM(F201:F204)</f>
        <v>74685727</v>
      </c>
    </row>
    <row r="206" spans="2:8" ht="13.5">
      <c r="B206" s="1118"/>
      <c r="C206" s="1119"/>
      <c r="D206" s="757"/>
      <c r="E206" s="757"/>
      <c r="F206" s="757"/>
    </row>
    <row r="207" spans="2:8" ht="13.15" thickBot="1">
      <c r="B207" s="1120" t="str">
        <f>+'Bce 8 Columnas'!B125</f>
        <v xml:space="preserve">4-1-12-004 Diferencia de Cambio </v>
      </c>
      <c r="C207" s="1121"/>
      <c r="D207" s="1123">
        <f>+'Bce 8 Columnas'!F125</f>
        <v>4000000</v>
      </c>
      <c r="E207" s="1123"/>
      <c r="F207" s="1123">
        <f>+D207+E207</f>
        <v>4000000</v>
      </c>
    </row>
    <row r="208" spans="2:8">
      <c r="B208" s="1115" t="s">
        <v>882</v>
      </c>
      <c r="C208" s="1116"/>
      <c r="D208" s="1124">
        <f>SUM(D207)</f>
        <v>4000000</v>
      </c>
      <c r="E208" s="1124"/>
      <c r="F208" s="1124">
        <f>SUM(F207)</f>
        <v>4000000</v>
      </c>
    </row>
    <row r="209" spans="2:6" ht="13.5">
      <c r="B209" s="1118"/>
      <c r="C209" s="1119"/>
      <c r="D209" s="757"/>
      <c r="E209" s="757"/>
      <c r="F209" s="757"/>
    </row>
    <row r="210" spans="2:6" ht="13.15" thickBot="1">
      <c r="B210" s="1120" t="str">
        <f>+'Bce 8 Columnas'!B132</f>
        <v>4-1-20-001 Impuesto a La Renta</v>
      </c>
      <c r="C210" s="1121"/>
      <c r="D210" s="1123">
        <f>-'Bce 8 Columnas'!E132</f>
        <v>-180000000</v>
      </c>
      <c r="E210" s="1123"/>
      <c r="F210" s="1123">
        <f>+D210+E210</f>
        <v>-180000000</v>
      </c>
    </row>
    <row r="211" spans="2:6">
      <c r="B211" s="1115" t="s">
        <v>883</v>
      </c>
      <c r="C211" s="1116"/>
      <c r="D211" s="1124">
        <f>SUM(D210)</f>
        <v>-180000000</v>
      </c>
      <c r="E211" s="1124"/>
      <c r="F211" s="1124">
        <f>SUM(F210)</f>
        <v>-180000000</v>
      </c>
    </row>
    <row r="212" spans="2:6" ht="13.5">
      <c r="B212" s="1118"/>
      <c r="C212" s="1119"/>
      <c r="D212" s="757"/>
      <c r="E212" s="757"/>
      <c r="F212" s="757"/>
    </row>
    <row r="213" spans="2:6">
      <c r="B213" s="1205" t="s">
        <v>1030</v>
      </c>
      <c r="C213" s="1206"/>
      <c r="D213" s="1207">
        <f>+D211+D208+D205+D199+D196+D191+D185+D182+D176+D166+D157+D148+D145</f>
        <v>766213492</v>
      </c>
      <c r="E213" s="1207">
        <f>SUM(E140:E212)</f>
        <v>-128094821</v>
      </c>
      <c r="F213" s="1207">
        <f>+F211+F208+F205+F199+F196+F191+F185+F182+F176+F166+F157+F148+F145</f>
        <v>638118671</v>
      </c>
    </row>
    <row r="215" spans="2:6">
      <c r="C215" s="656"/>
      <c r="D215" s="1482"/>
      <c r="E215" s="656"/>
      <c r="F215" s="656"/>
    </row>
    <row r="216" spans="2:6">
      <c r="C216" s="656"/>
      <c r="E216" s="656"/>
      <c r="F216" s="656"/>
    </row>
    <row r="217" spans="2:6">
      <c r="C217" s="656"/>
      <c r="E217" s="656"/>
      <c r="F217" s="656"/>
    </row>
  </sheetData>
  <mergeCells count="1">
    <mergeCell ref="N79:Q79"/>
  </mergeCells>
  <pageMargins left="0.70866141732283472" right="0.70866141732283472" top="0.74803149606299213" bottom="0.74803149606299213" header="0.31496062992125984" footer="0.31496062992125984"/>
  <pageSetup scale="2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3DD2-557B-4F60-9184-E60648606F6A}">
  <dimension ref="A2:L97"/>
  <sheetViews>
    <sheetView topLeftCell="A92" workbookViewId="0">
      <selection activeCell="D44" sqref="D44:F44"/>
    </sheetView>
  </sheetViews>
  <sheetFormatPr baseColWidth="10" defaultColWidth="10.86328125" defaultRowHeight="13.5"/>
  <cols>
    <col min="1" max="1" width="12.86328125" style="735" bestFit="1" customWidth="1"/>
    <col min="2" max="2" width="22.86328125" style="735" customWidth="1"/>
    <col min="3" max="3" width="14.19921875" style="735" bestFit="1" customWidth="1"/>
    <col min="4" max="4" width="17.19921875" style="735" bestFit="1" customWidth="1"/>
    <col min="5" max="5" width="17.19921875" style="735" customWidth="1"/>
    <col min="6" max="6" width="16.19921875" style="735" bestFit="1" customWidth="1"/>
    <col min="7" max="7" width="13.33203125" style="735" bestFit="1" customWidth="1"/>
    <col min="8" max="8" width="13.19921875" style="735" bestFit="1" customWidth="1"/>
    <col min="9" max="9" width="15.1328125" style="735" bestFit="1" customWidth="1"/>
    <col min="10" max="10" width="12.53125" style="735" bestFit="1" customWidth="1"/>
    <col min="11" max="11" width="10.86328125" style="735"/>
    <col min="12" max="12" width="11.33203125" style="735" bestFit="1" customWidth="1"/>
    <col min="13" max="16384" width="10.86328125" style="735"/>
  </cols>
  <sheetData>
    <row r="2" spans="1:10">
      <c r="B2" s="2232" t="s">
        <v>1154</v>
      </c>
      <c r="C2" s="2232"/>
      <c r="D2" s="2232"/>
      <c r="E2" s="2232"/>
      <c r="G2" s="883"/>
    </row>
    <row r="3" spans="1:10" ht="13.9" thickBot="1"/>
    <row r="4" spans="1:10" ht="13.9" thickBot="1">
      <c r="A4" s="884">
        <v>1</v>
      </c>
      <c r="B4" s="2233" t="s">
        <v>973</v>
      </c>
      <c r="C4" s="2234"/>
      <c r="D4" s="2234"/>
      <c r="E4" s="885"/>
      <c r="F4" s="809" t="s">
        <v>1155</v>
      </c>
    </row>
    <row r="6" spans="1:10">
      <c r="B6" s="886" t="s">
        <v>1156</v>
      </c>
    </row>
    <row r="7" spans="1:10">
      <c r="B7" s="2230" t="s">
        <v>856</v>
      </c>
      <c r="C7" s="2231" t="s">
        <v>1157</v>
      </c>
      <c r="D7" s="2231"/>
      <c r="E7" s="2231"/>
      <c r="F7" s="887" t="s">
        <v>1158</v>
      </c>
      <c r="G7" s="2231" t="s">
        <v>1159</v>
      </c>
      <c r="H7" s="2231"/>
      <c r="I7" s="2231"/>
      <c r="J7" s="887" t="s">
        <v>1160</v>
      </c>
    </row>
    <row r="8" spans="1:10">
      <c r="B8" s="2230"/>
      <c r="C8" s="887" t="s">
        <v>1161</v>
      </c>
      <c r="D8" s="887" t="s">
        <v>1162</v>
      </c>
      <c r="E8" s="887" t="s">
        <v>1163</v>
      </c>
      <c r="F8" s="887" t="s">
        <v>1164</v>
      </c>
      <c r="G8" s="887" t="s">
        <v>1161</v>
      </c>
      <c r="H8" s="887" t="s">
        <v>1162</v>
      </c>
      <c r="I8" s="887" t="s">
        <v>1163</v>
      </c>
      <c r="J8" s="887" t="s">
        <v>1165</v>
      </c>
    </row>
    <row r="9" spans="1:10" ht="14.25">
      <c r="B9" s="888" t="s">
        <v>1166</v>
      </c>
      <c r="C9" s="889">
        <v>70000</v>
      </c>
      <c r="D9" s="890"/>
      <c r="E9" s="889">
        <v>70000</v>
      </c>
      <c r="F9" s="891">
        <v>500</v>
      </c>
      <c r="G9" s="889">
        <f>+F9*E9</f>
        <v>35000000</v>
      </c>
      <c r="H9" s="890"/>
      <c r="I9" s="892">
        <f>+G9</f>
        <v>35000000</v>
      </c>
      <c r="J9" s="893">
        <f>+I9/E9</f>
        <v>500</v>
      </c>
    </row>
    <row r="10" spans="1:10" ht="14.25">
      <c r="B10" s="888" t="s">
        <v>1167</v>
      </c>
      <c r="C10" s="890"/>
      <c r="D10" s="889">
        <v>50000</v>
      </c>
      <c r="E10" s="889">
        <f>+E9-D10</f>
        <v>20000</v>
      </c>
      <c r="F10" s="890"/>
      <c r="G10" s="890"/>
      <c r="H10" s="889">
        <f>+D10*J9</f>
        <v>25000000</v>
      </c>
      <c r="I10" s="892">
        <f>+I9-H10</f>
        <v>10000000</v>
      </c>
      <c r="J10" s="893">
        <f t="shared" ref="J10:J13" si="0">+I10/E10</f>
        <v>500</v>
      </c>
    </row>
    <row r="11" spans="1:10" ht="14.25">
      <c r="B11" s="888" t="s">
        <v>1168</v>
      </c>
      <c r="C11" s="889">
        <v>80000</v>
      </c>
      <c r="D11" s="890"/>
      <c r="E11" s="889">
        <v>100000</v>
      </c>
      <c r="F11" s="1174">
        <v>570</v>
      </c>
      <c r="G11" s="889">
        <f>+F11*C11</f>
        <v>45600000</v>
      </c>
      <c r="H11" s="890"/>
      <c r="I11" s="892">
        <f>+I10+G11</f>
        <v>55600000</v>
      </c>
      <c r="J11" s="893">
        <f t="shared" si="0"/>
        <v>556</v>
      </c>
    </row>
    <row r="12" spans="1:10" ht="14.25">
      <c r="B12" s="888" t="s">
        <v>1169</v>
      </c>
      <c r="C12" s="890"/>
      <c r="D12" s="889">
        <v>20000</v>
      </c>
      <c r="E12" s="889">
        <v>80000</v>
      </c>
      <c r="F12" s="890"/>
      <c r="G12" s="890"/>
      <c r="H12" s="889">
        <f>+J11*D12</f>
        <v>11120000</v>
      </c>
      <c r="I12" s="892">
        <f>+I11-H12</f>
        <v>44480000</v>
      </c>
      <c r="J12" s="893">
        <f t="shared" si="0"/>
        <v>556</v>
      </c>
    </row>
    <row r="13" spans="1:10" ht="14.65" thickBot="1">
      <c r="B13" s="1170" t="s">
        <v>1170</v>
      </c>
      <c r="C13" s="1171">
        <v>50000</v>
      </c>
      <c r="D13" s="1172"/>
      <c r="E13" s="1171">
        <v>130000</v>
      </c>
      <c r="F13" s="1173">
        <v>560</v>
      </c>
      <c r="G13" s="1171">
        <f>+F13*C13</f>
        <v>28000000</v>
      </c>
      <c r="H13" s="1172"/>
      <c r="I13" s="1175">
        <f>+I12+G13</f>
        <v>72480000</v>
      </c>
      <c r="J13" s="893">
        <f t="shared" si="0"/>
        <v>557.53846153846155</v>
      </c>
    </row>
    <row r="14" spans="1:10" ht="14.65" thickBot="1">
      <c r="B14" s="888" t="s">
        <v>1171</v>
      </c>
      <c r="C14" s="890"/>
      <c r="D14" s="889">
        <v>15000</v>
      </c>
      <c r="E14" s="889">
        <v>115000</v>
      </c>
      <c r="F14" s="890"/>
      <c r="G14" s="890"/>
      <c r="H14" s="895">
        <f>+D14*J13</f>
        <v>8363076.923076923</v>
      </c>
      <c r="I14" s="896">
        <f>+I13-H14</f>
        <v>64116923.07692308</v>
      </c>
      <c r="J14" s="897"/>
    </row>
    <row r="15" spans="1:10" ht="12.5" customHeight="1"/>
    <row r="16" spans="1:10">
      <c r="B16" s="886" t="s">
        <v>1172</v>
      </c>
    </row>
    <row r="17" spans="2:12">
      <c r="B17" s="2230" t="s">
        <v>856</v>
      </c>
      <c r="C17" s="2231" t="s">
        <v>1157</v>
      </c>
      <c r="D17" s="2231"/>
      <c r="E17" s="2231"/>
      <c r="F17" s="887" t="s">
        <v>1158</v>
      </c>
      <c r="G17" s="2231" t="s">
        <v>1159</v>
      </c>
      <c r="H17" s="2231"/>
      <c r="I17" s="2231"/>
      <c r="J17" s="887" t="s">
        <v>1160</v>
      </c>
    </row>
    <row r="18" spans="2:12">
      <c r="B18" s="2230"/>
      <c r="C18" s="887" t="s">
        <v>1161</v>
      </c>
      <c r="D18" s="887" t="s">
        <v>1162</v>
      </c>
      <c r="E18" s="887" t="s">
        <v>1163</v>
      </c>
      <c r="F18" s="887" t="s">
        <v>1164</v>
      </c>
      <c r="G18" s="887" t="s">
        <v>1161</v>
      </c>
      <c r="H18" s="887" t="s">
        <v>1162</v>
      </c>
      <c r="I18" s="887" t="s">
        <v>1163</v>
      </c>
      <c r="J18" s="887" t="s">
        <v>1165</v>
      </c>
    </row>
    <row r="19" spans="2:12" ht="14.25">
      <c r="B19" s="888" t="s">
        <v>1166</v>
      </c>
      <c r="C19" s="889">
        <v>10000</v>
      </c>
      <c r="D19" s="890"/>
      <c r="E19" s="889">
        <v>10000</v>
      </c>
      <c r="F19" s="891">
        <v>2200</v>
      </c>
      <c r="G19" s="889">
        <f>+F19*E19</f>
        <v>22000000</v>
      </c>
      <c r="H19" s="890"/>
      <c r="I19" s="892">
        <f>+G19</f>
        <v>22000000</v>
      </c>
      <c r="J19" s="893">
        <v>2200</v>
      </c>
    </row>
    <row r="20" spans="2:12" ht="14.25">
      <c r="B20" s="888" t="s">
        <v>1167</v>
      </c>
      <c r="C20" s="890"/>
      <c r="D20" s="889">
        <v>5000</v>
      </c>
      <c r="E20" s="889">
        <v>5000</v>
      </c>
      <c r="F20" s="890"/>
      <c r="G20" s="890"/>
      <c r="H20" s="889">
        <f>+D20*J19</f>
        <v>11000000</v>
      </c>
      <c r="I20" s="892">
        <f>+I19-H20</f>
        <v>11000000</v>
      </c>
      <c r="J20" s="891">
        <v>2200</v>
      </c>
      <c r="L20" s="883"/>
    </row>
    <row r="21" spans="2:12" ht="14.65" thickBot="1">
      <c r="B21" s="888" t="s">
        <v>1168</v>
      </c>
      <c r="C21" s="889">
        <v>50000</v>
      </c>
      <c r="D21" s="890"/>
      <c r="E21" s="889">
        <v>55000</v>
      </c>
      <c r="F21" s="891">
        <v>2300</v>
      </c>
      <c r="G21" s="889">
        <f>+F21*C21</f>
        <v>115000000</v>
      </c>
      <c r="H21" s="890"/>
      <c r="I21" s="894">
        <f>+I20+G21</f>
        <v>126000000</v>
      </c>
      <c r="J21" s="891">
        <v>2290.91</v>
      </c>
    </row>
    <row r="22" spans="2:12" ht="14.65" thickBot="1">
      <c r="B22" s="888" t="s">
        <v>1169</v>
      </c>
      <c r="C22" s="890"/>
      <c r="D22" s="889">
        <v>15000</v>
      </c>
      <c r="E22" s="889">
        <v>40000</v>
      </c>
      <c r="F22" s="890"/>
      <c r="G22" s="890"/>
      <c r="H22" s="895">
        <f>+D22*J21</f>
        <v>34363650</v>
      </c>
      <c r="I22" s="896">
        <f>+I21-H22</f>
        <v>91636350</v>
      </c>
      <c r="J22" s="898">
        <v>2290.91</v>
      </c>
    </row>
    <row r="24" spans="2:12">
      <c r="B24" s="886" t="s">
        <v>1173</v>
      </c>
    </row>
    <row r="25" spans="2:12">
      <c r="B25" s="2230" t="s">
        <v>856</v>
      </c>
      <c r="C25" s="2231" t="s">
        <v>1157</v>
      </c>
      <c r="D25" s="2231"/>
      <c r="E25" s="2231"/>
      <c r="F25" s="887" t="s">
        <v>1158</v>
      </c>
      <c r="G25" s="2231" t="s">
        <v>1159</v>
      </c>
      <c r="H25" s="2231"/>
      <c r="I25" s="2231"/>
      <c r="J25" s="887" t="s">
        <v>1160</v>
      </c>
    </row>
    <row r="26" spans="2:12">
      <c r="B26" s="2230"/>
      <c r="C26" s="887" t="s">
        <v>1161</v>
      </c>
      <c r="D26" s="887" t="s">
        <v>1162</v>
      </c>
      <c r="E26" s="887" t="s">
        <v>1163</v>
      </c>
      <c r="F26" s="887" t="s">
        <v>1164</v>
      </c>
      <c r="G26" s="887" t="s">
        <v>1161</v>
      </c>
      <c r="H26" s="887" t="s">
        <v>1162</v>
      </c>
      <c r="I26" s="887" t="s">
        <v>1163</v>
      </c>
      <c r="J26" s="887" t="s">
        <v>1165</v>
      </c>
    </row>
    <row r="27" spans="2:12" ht="14.65" thickBot="1">
      <c r="B27" s="888" t="s">
        <v>1166</v>
      </c>
      <c r="C27" s="889">
        <v>60000</v>
      </c>
      <c r="D27" s="890"/>
      <c r="E27" s="889">
        <v>60000</v>
      </c>
      <c r="F27" s="891">
        <v>5000</v>
      </c>
      <c r="G27" s="889">
        <v>300000000</v>
      </c>
      <c r="H27" s="890"/>
      <c r="I27" s="894">
        <v>300000000</v>
      </c>
      <c r="J27" s="893">
        <v>5000</v>
      </c>
    </row>
    <row r="28" spans="2:12" ht="14.65" thickBot="1">
      <c r="B28" s="888" t="s">
        <v>1167</v>
      </c>
      <c r="C28" s="890"/>
      <c r="D28" s="889">
        <v>10000</v>
      </c>
      <c r="E28" s="889">
        <v>50000</v>
      </c>
      <c r="F28" s="890"/>
      <c r="G28" s="890"/>
      <c r="H28" s="895">
        <v>50000000</v>
      </c>
      <c r="I28" s="896">
        <v>250000000</v>
      </c>
      <c r="J28" s="899">
        <v>5000</v>
      </c>
    </row>
    <row r="30" spans="2:12">
      <c r="B30" s="2235" t="s">
        <v>1043</v>
      </c>
      <c r="C30" s="2235"/>
      <c r="D30" s="2235"/>
      <c r="E30" s="2235"/>
      <c r="F30" s="2235"/>
      <c r="G30" s="2235"/>
      <c r="H30" s="2235"/>
    </row>
    <row r="31" spans="2:12">
      <c r="B31" s="900" t="s">
        <v>1174</v>
      </c>
      <c r="C31" s="900" t="s">
        <v>1175</v>
      </c>
      <c r="D31" s="900" t="s">
        <v>1176</v>
      </c>
      <c r="E31" s="900" t="s">
        <v>1177</v>
      </c>
      <c r="F31" s="900" t="s">
        <v>109</v>
      </c>
      <c r="G31" s="2235" t="s">
        <v>1178</v>
      </c>
      <c r="H31" s="2235"/>
    </row>
    <row r="32" spans="2:12">
      <c r="B32" s="900"/>
      <c r="C32" s="900" t="s">
        <v>1179</v>
      </c>
      <c r="D32" s="900"/>
      <c r="E32" s="900"/>
      <c r="F32" s="900"/>
      <c r="G32" s="900"/>
      <c r="H32" s="900"/>
    </row>
    <row r="33" spans="1:10">
      <c r="B33" s="801" t="s">
        <v>1180</v>
      </c>
      <c r="C33" s="901">
        <v>570</v>
      </c>
      <c r="D33" s="801" t="s">
        <v>1058</v>
      </c>
      <c r="E33" s="901">
        <v>115000</v>
      </c>
      <c r="F33" s="802">
        <f>+C33*E33</f>
        <v>65550000</v>
      </c>
      <c r="G33" s="2236" t="s">
        <v>1181</v>
      </c>
      <c r="H33" s="2236"/>
    </row>
    <row r="34" spans="1:10">
      <c r="B34" s="801" t="s">
        <v>1182</v>
      </c>
      <c r="C34" s="901">
        <v>2300</v>
      </c>
      <c r="D34" s="902">
        <v>2369</v>
      </c>
      <c r="E34" s="901">
        <v>40000</v>
      </c>
      <c r="F34" s="802">
        <v>94760000</v>
      </c>
      <c r="G34" s="2236" t="s">
        <v>1183</v>
      </c>
      <c r="H34" s="2236"/>
    </row>
    <row r="35" spans="1:10">
      <c r="B35" s="801" t="s">
        <v>1184</v>
      </c>
      <c r="C35" s="901">
        <v>5000</v>
      </c>
      <c r="D35" s="902">
        <v>5250</v>
      </c>
      <c r="E35" s="901">
        <v>50000</v>
      </c>
      <c r="F35" s="802">
        <v>262500000</v>
      </c>
      <c r="G35" s="2236" t="s">
        <v>1185</v>
      </c>
      <c r="H35" s="2236"/>
      <c r="J35" s="883">
        <f>+F36-I28-I22-I14</f>
        <v>17056726.92307692</v>
      </c>
    </row>
    <row r="36" spans="1:10">
      <c r="B36" s="2235" t="s">
        <v>109</v>
      </c>
      <c r="C36" s="2235"/>
      <c r="D36" s="2235"/>
      <c r="E36" s="2235"/>
      <c r="F36" s="903">
        <f>+F33+F34+F35</f>
        <v>422810000</v>
      </c>
      <c r="G36" s="2237"/>
      <c r="H36" s="2237"/>
      <c r="J36" s="883">
        <f>D62</f>
        <v>30000000</v>
      </c>
    </row>
    <row r="37" spans="1:10" ht="13.9" thickBot="1">
      <c r="J37" s="883">
        <f>+C85</f>
        <v>25000000</v>
      </c>
    </row>
    <row r="38" spans="1:10" ht="13.9" thickBot="1">
      <c r="B38" s="904" t="s">
        <v>1052</v>
      </c>
      <c r="C38" s="904" t="s">
        <v>1186</v>
      </c>
      <c r="D38" s="905" t="s">
        <v>1187</v>
      </c>
      <c r="E38" s="884" t="s">
        <v>1188</v>
      </c>
      <c r="J38" s="883">
        <f>SUM(J35:J37)</f>
        <v>72056726.923076928</v>
      </c>
    </row>
    <row r="39" spans="1:10">
      <c r="B39" s="906" t="s">
        <v>1189</v>
      </c>
      <c r="C39" s="907"/>
      <c r="D39" s="908"/>
      <c r="E39" s="909"/>
      <c r="I39" s="735" t="s">
        <v>1627</v>
      </c>
    </row>
    <row r="40" spans="1:10">
      <c r="B40" s="910" t="s">
        <v>1190</v>
      </c>
      <c r="C40" s="911"/>
      <c r="D40" s="912"/>
      <c r="E40" s="913"/>
    </row>
    <row r="41" spans="1:10" ht="13.9" thickBot="1">
      <c r="B41" s="910" t="s">
        <v>1191</v>
      </c>
      <c r="C41" s="911"/>
      <c r="D41" s="912"/>
      <c r="E41" s="914"/>
    </row>
    <row r="43" spans="1:10" ht="13.9" thickBot="1"/>
    <row r="44" spans="1:10" ht="16.899999999999999" thickBot="1">
      <c r="B44" s="713" t="s">
        <v>17</v>
      </c>
      <c r="C44" s="714"/>
      <c r="D44" s="715" t="s">
        <v>1473</v>
      </c>
      <c r="E44" s="716" t="s">
        <v>1472</v>
      </c>
      <c r="F44" s="1107" t="s">
        <v>935</v>
      </c>
    </row>
    <row r="45" spans="1:10" ht="16.899999999999999" thickBot="1">
      <c r="B45" s="862" t="s">
        <v>973</v>
      </c>
      <c r="C45" s="709"/>
      <c r="D45" s="718"/>
      <c r="E45" s="719"/>
      <c r="F45" s="1108"/>
    </row>
    <row r="46" spans="1:10" ht="13.9" thickBot="1"/>
    <row r="47" spans="1:10" ht="16.899999999999999" thickBot="1">
      <c r="A47" s="1425" t="s">
        <v>1055</v>
      </c>
      <c r="B47" s="2177" t="s">
        <v>1052</v>
      </c>
      <c r="C47" s="2112"/>
      <c r="D47" s="2113"/>
      <c r="E47" s="1426" t="s">
        <v>1056</v>
      </c>
      <c r="F47" s="1426" t="s">
        <v>1057</v>
      </c>
    </row>
    <row r="48" spans="1:10" ht="16.5">
      <c r="A48" s="723"/>
      <c r="B48" s="724" t="s">
        <v>1058</v>
      </c>
      <c r="C48" s="852"/>
      <c r="D48" s="853" t="s">
        <v>1058</v>
      </c>
      <c r="E48" s="847"/>
      <c r="F48" s="847"/>
    </row>
    <row r="49" spans="1:6" ht="16.5">
      <c r="A49" s="723"/>
      <c r="B49" s="729"/>
      <c r="C49" s="709"/>
      <c r="D49" s="730"/>
      <c r="E49" s="847"/>
      <c r="F49" s="847"/>
    </row>
    <row r="50" spans="1:6" ht="16.5">
      <c r="A50" s="723"/>
      <c r="B50" s="729"/>
      <c r="C50" s="862"/>
      <c r="D50" s="730"/>
      <c r="E50" s="847"/>
      <c r="F50" s="847"/>
    </row>
    <row r="51" spans="1:6" ht="16.899999999999999" thickBot="1">
      <c r="A51" s="731"/>
      <c r="B51" s="732" t="s">
        <v>1059</v>
      </c>
      <c r="C51" s="733"/>
      <c r="D51" s="734"/>
      <c r="E51" s="848"/>
      <c r="F51" s="848"/>
    </row>
    <row r="53" spans="1:6" ht="13.9" thickBot="1"/>
    <row r="54" spans="1:6" ht="13.9" thickBot="1">
      <c r="A54" s="884">
        <v>2</v>
      </c>
      <c r="B54" s="2233" t="s">
        <v>972</v>
      </c>
      <c r="C54" s="2234"/>
      <c r="D54" s="2234"/>
      <c r="E54" s="885"/>
      <c r="F54" s="809" t="s">
        <v>1155</v>
      </c>
    </row>
    <row r="55" spans="1:6" ht="13.9" thickBot="1"/>
    <row r="56" spans="1:6">
      <c r="A56" s="2238" t="s">
        <v>1192</v>
      </c>
      <c r="B56" s="2239"/>
      <c r="C56" s="2239"/>
      <c r="D56" s="2239"/>
      <c r="E56" s="2239"/>
      <c r="F56" s="2240"/>
    </row>
    <row r="57" spans="1:6">
      <c r="A57" s="2241"/>
      <c r="B57" s="2242"/>
      <c r="C57" s="2242"/>
      <c r="D57" s="2242"/>
      <c r="E57" s="2242"/>
      <c r="F57" s="2243"/>
    </row>
    <row r="58" spans="1:6" ht="13.9" thickBot="1">
      <c r="A58" s="2244"/>
      <c r="B58" s="2245"/>
      <c r="C58" s="2245"/>
      <c r="D58" s="2245"/>
      <c r="E58" s="2245"/>
      <c r="F58" s="2246"/>
    </row>
    <row r="60" spans="1:6">
      <c r="B60" s="2247" t="s">
        <v>1052</v>
      </c>
      <c r="C60" s="2247"/>
      <c r="D60" s="915" t="s">
        <v>1193</v>
      </c>
    </row>
    <row r="61" spans="1:6">
      <c r="B61" s="2248" t="s">
        <v>1194</v>
      </c>
      <c r="C61" s="2248"/>
      <c r="D61" s="916">
        <v>400000000</v>
      </c>
    </row>
    <row r="62" spans="1:6">
      <c r="B62" s="2249" t="s">
        <v>1043</v>
      </c>
      <c r="C62" s="2249"/>
      <c r="D62" s="917">
        <v>30000000</v>
      </c>
    </row>
    <row r="63" spans="1:6">
      <c r="B63" s="2249" t="s">
        <v>1195</v>
      </c>
      <c r="C63" s="2249"/>
      <c r="D63" s="917">
        <v>200000000</v>
      </c>
    </row>
    <row r="64" spans="1:6">
      <c r="B64" s="2249" t="s">
        <v>1196</v>
      </c>
      <c r="C64" s="2249"/>
      <c r="D64" s="917">
        <v>500000000</v>
      </c>
    </row>
    <row r="65" spans="1:6" ht="13.9" thickBot="1"/>
    <row r="66" spans="1:6" ht="13.9" thickBot="1">
      <c r="A66" s="918" t="s">
        <v>1052</v>
      </c>
      <c r="B66" s="919" t="s">
        <v>1155</v>
      </c>
      <c r="C66" s="919" t="s">
        <v>1187</v>
      </c>
      <c r="D66" s="920" t="s">
        <v>1197</v>
      </c>
      <c r="E66" s="919" t="s">
        <v>1188</v>
      </c>
      <c r="F66" s="921" t="s">
        <v>935</v>
      </c>
    </row>
    <row r="67" spans="1:6">
      <c r="A67" s="922" t="s">
        <v>467</v>
      </c>
      <c r="B67" s="907"/>
      <c r="C67" s="907"/>
      <c r="D67" s="1109"/>
      <c r="E67" s="907"/>
      <c r="F67" s="907"/>
    </row>
    <row r="68" spans="1:6">
      <c r="A68" s="811" t="s">
        <v>1198</v>
      </c>
      <c r="B68" s="911"/>
      <c r="C68" s="911"/>
      <c r="D68" s="1110"/>
      <c r="E68" s="911"/>
      <c r="F68" s="911"/>
    </row>
    <row r="70" spans="1:6" ht="13.9" thickBot="1"/>
    <row r="71" spans="1:6" ht="16.899999999999999" thickBot="1">
      <c r="A71" s="1425" t="s">
        <v>1055</v>
      </c>
      <c r="B71" s="2177" t="s">
        <v>1052</v>
      </c>
      <c r="C71" s="2112"/>
      <c r="D71" s="2113"/>
      <c r="E71" s="1426" t="s">
        <v>1056</v>
      </c>
      <c r="F71" s="1426" t="s">
        <v>1057</v>
      </c>
    </row>
    <row r="72" spans="1:6" ht="16.5">
      <c r="A72" s="723"/>
      <c r="B72" s="724" t="s">
        <v>1058</v>
      </c>
      <c r="C72" s="852"/>
      <c r="D72" s="853" t="s">
        <v>1058</v>
      </c>
      <c r="E72" s="847"/>
      <c r="F72" s="847"/>
    </row>
    <row r="73" spans="1:6" ht="16.5">
      <c r="A73" s="723"/>
      <c r="B73" s="729"/>
      <c r="C73" s="709"/>
      <c r="D73" s="730"/>
      <c r="E73" s="847"/>
      <c r="F73" s="847"/>
    </row>
    <row r="74" spans="1:6" ht="16.5">
      <c r="A74" s="723"/>
      <c r="B74" s="729"/>
      <c r="C74" s="862"/>
      <c r="D74" s="730"/>
      <c r="E74" s="847"/>
      <c r="F74" s="847"/>
    </row>
    <row r="75" spans="1:6" ht="16.899999999999999" thickBot="1">
      <c r="A75" s="731"/>
      <c r="B75" s="732" t="s">
        <v>1059</v>
      </c>
      <c r="C75" s="733"/>
      <c r="D75" s="734"/>
      <c r="E75" s="848"/>
      <c r="F75" s="848"/>
    </row>
    <row r="77" spans="1:6" ht="13.9" thickBot="1"/>
    <row r="78" spans="1:6" ht="13.9" thickBot="1">
      <c r="A78" s="884">
        <v>3</v>
      </c>
      <c r="B78" s="2233" t="s">
        <v>971</v>
      </c>
      <c r="C78" s="2234"/>
      <c r="D78" s="2234"/>
      <c r="E78" s="885"/>
      <c r="F78" s="809" t="s">
        <v>1155</v>
      </c>
    </row>
    <row r="79" spans="1:6" ht="13.9" thickBot="1"/>
    <row r="80" spans="1:6">
      <c r="A80" s="2238" t="s">
        <v>1192</v>
      </c>
      <c r="B80" s="2239"/>
      <c r="C80" s="2239"/>
      <c r="D80" s="2239"/>
      <c r="E80" s="2239"/>
      <c r="F80" s="2240"/>
    </row>
    <row r="81" spans="1:6">
      <c r="A81" s="2241"/>
      <c r="B81" s="2242"/>
      <c r="C81" s="2242"/>
      <c r="D81" s="2242"/>
      <c r="E81" s="2242"/>
      <c r="F81" s="2243"/>
    </row>
    <row r="82" spans="1:6" ht="13.9" thickBot="1">
      <c r="A82" s="2244"/>
      <c r="B82" s="2245"/>
      <c r="C82" s="2245"/>
      <c r="D82" s="2245"/>
      <c r="E82" s="2245"/>
      <c r="F82" s="2246"/>
    </row>
    <row r="83" spans="1:6" ht="13.9" thickBot="1"/>
    <row r="84" spans="1:6" ht="13.9" thickBot="1">
      <c r="B84" s="923" t="s">
        <v>1052</v>
      </c>
      <c r="C84" s="924" t="s">
        <v>1193</v>
      </c>
    </row>
    <row r="85" spans="1:6" ht="13.9" thickBot="1">
      <c r="B85" s="925" t="s">
        <v>1043</v>
      </c>
      <c r="C85" s="926">
        <v>25000000</v>
      </c>
    </row>
    <row r="86" spans="1:6" ht="13.9" thickBot="1">
      <c r="B86" s="1112" t="s">
        <v>1196</v>
      </c>
      <c r="C86" s="1113">
        <v>250000000</v>
      </c>
      <c r="D86" s="1111" t="s">
        <v>1308</v>
      </c>
    </row>
    <row r="87" spans="1:6" ht="13.9" thickBot="1"/>
    <row r="88" spans="1:6" ht="13.9" thickBot="1">
      <c r="A88" s="918" t="s">
        <v>1052</v>
      </c>
      <c r="B88" s="919" t="s">
        <v>1155</v>
      </c>
      <c r="C88" s="919" t="s">
        <v>1187</v>
      </c>
      <c r="D88" s="920" t="s">
        <v>1197</v>
      </c>
      <c r="E88" s="919" t="s">
        <v>1188</v>
      </c>
      <c r="F88" s="921" t="s">
        <v>935</v>
      </c>
    </row>
    <row r="89" spans="1:6">
      <c r="A89" s="922" t="s">
        <v>467</v>
      </c>
      <c r="B89" s="907"/>
      <c r="C89" s="907"/>
      <c r="D89" s="1109"/>
      <c r="E89" s="907"/>
      <c r="F89" s="907"/>
    </row>
    <row r="90" spans="1:6">
      <c r="A90" s="811" t="s">
        <v>1198</v>
      </c>
      <c r="B90" s="911"/>
      <c r="C90" s="911"/>
      <c r="D90" s="1110"/>
      <c r="E90" s="911"/>
      <c r="F90" s="911"/>
    </row>
    <row r="92" spans="1:6" ht="13.9" thickBot="1"/>
    <row r="93" spans="1:6" ht="16.899999999999999" thickBot="1">
      <c r="A93" s="1425" t="s">
        <v>1055</v>
      </c>
      <c r="B93" s="2177" t="s">
        <v>1052</v>
      </c>
      <c r="C93" s="2112"/>
      <c r="D93" s="2113"/>
      <c r="E93" s="1426" t="s">
        <v>1056</v>
      </c>
      <c r="F93" s="1426" t="s">
        <v>1057</v>
      </c>
    </row>
    <row r="94" spans="1:6" ht="16.5">
      <c r="A94" s="757"/>
      <c r="B94" s="724" t="s">
        <v>1058</v>
      </c>
      <c r="C94" s="852"/>
      <c r="D94" s="853" t="s">
        <v>1058</v>
      </c>
      <c r="E94" s="847"/>
      <c r="F94" s="847"/>
    </row>
    <row r="95" spans="1:6" ht="16.5">
      <c r="A95" s="723"/>
      <c r="B95" s="729"/>
      <c r="C95" s="709"/>
      <c r="D95" s="730"/>
      <c r="E95" s="847"/>
      <c r="F95" s="847"/>
    </row>
    <row r="96" spans="1:6" ht="16.5">
      <c r="A96" s="723"/>
      <c r="B96" s="729"/>
      <c r="C96" s="862"/>
      <c r="D96" s="730"/>
      <c r="E96" s="847"/>
      <c r="F96" s="847"/>
    </row>
    <row r="97" spans="1:6" ht="16.899999999999999" thickBot="1">
      <c r="A97" s="731"/>
      <c r="B97" s="732" t="s">
        <v>1059</v>
      </c>
      <c r="C97" s="733"/>
      <c r="D97" s="734"/>
      <c r="E97" s="848"/>
      <c r="F97" s="848"/>
    </row>
  </sheetData>
  <mergeCells count="30">
    <mergeCell ref="B71:D71"/>
    <mergeCell ref="B78:D78"/>
    <mergeCell ref="A80:F82"/>
    <mergeCell ref="B93:D93"/>
    <mergeCell ref="A56:F58"/>
    <mergeCell ref="B60:C60"/>
    <mergeCell ref="B61:C61"/>
    <mergeCell ref="B62:C62"/>
    <mergeCell ref="B63:C63"/>
    <mergeCell ref="B64:C64"/>
    <mergeCell ref="B54:D54"/>
    <mergeCell ref="B25:B26"/>
    <mergeCell ref="C25:E25"/>
    <mergeCell ref="G25:I25"/>
    <mergeCell ref="B30:H30"/>
    <mergeCell ref="G31:H31"/>
    <mergeCell ref="G33:H33"/>
    <mergeCell ref="G34:H34"/>
    <mergeCell ref="G35:H35"/>
    <mergeCell ref="B36:E36"/>
    <mergeCell ref="G36:H36"/>
    <mergeCell ref="B47:D47"/>
    <mergeCell ref="B17:B18"/>
    <mergeCell ref="C17:E17"/>
    <mergeCell ref="G17:I17"/>
    <mergeCell ref="B2:E2"/>
    <mergeCell ref="B4:D4"/>
    <mergeCell ref="B7:B8"/>
    <mergeCell ref="C7:E7"/>
    <mergeCell ref="G7:I7"/>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8EF-7356-4BCF-8F7D-9FBDCDC1B082}">
  <dimension ref="A1:I139"/>
  <sheetViews>
    <sheetView topLeftCell="A124" workbookViewId="0">
      <selection activeCell="B25" sqref="B25:F28"/>
    </sheetView>
  </sheetViews>
  <sheetFormatPr baseColWidth="10" defaultColWidth="10.86328125" defaultRowHeight="13.5"/>
  <cols>
    <col min="1" max="1" width="12.33203125" style="735" bestFit="1" customWidth="1"/>
    <col min="2" max="2" width="28.53125" style="735" customWidth="1"/>
    <col min="3" max="3" width="17.1328125" style="735" customWidth="1"/>
    <col min="4" max="4" width="23.33203125" style="735" customWidth="1"/>
    <col min="5" max="5" width="20.1328125" style="735" customWidth="1"/>
    <col min="6" max="6" width="17.33203125" style="735" customWidth="1"/>
    <col min="7" max="7" width="17.46484375" style="735" customWidth="1"/>
    <col min="8" max="8" width="14.19921875" style="817" bestFit="1" customWidth="1"/>
    <col min="9" max="9" width="13.33203125" style="735" bestFit="1" customWidth="1"/>
    <col min="10" max="16384" width="10.86328125" style="735"/>
  </cols>
  <sheetData>
    <row r="1" spans="1:6" ht="13.9" thickBot="1"/>
    <row r="2" spans="1:6" ht="16.899999999999999" thickBot="1">
      <c r="B2" s="2059" t="s">
        <v>1210</v>
      </c>
      <c r="C2" s="2060"/>
      <c r="D2" s="2060"/>
      <c r="E2" s="2060"/>
      <c r="F2" s="2061"/>
    </row>
    <row r="4" spans="1:6">
      <c r="B4" s="952" t="s">
        <v>1052</v>
      </c>
      <c r="C4" s="928" t="s">
        <v>1061</v>
      </c>
    </row>
    <row r="5" spans="1:6">
      <c r="A5" s="2259" t="str">
        <f>+'Bce Clasificado 31.12.2024'!H35</f>
        <v>2-1-05-001 Provisión Terremoto</v>
      </c>
      <c r="B5" s="2259"/>
      <c r="C5" s="802">
        <f>+'Bce Clasificado 31.12.2024'!J35</f>
        <v>180000000</v>
      </c>
    </row>
    <row r="6" spans="1:6">
      <c r="A6" s="2259" t="str">
        <f>+'Bce Clasificado 31.12.2024'!H36</f>
        <v xml:space="preserve">2-1-05-002 Provision por Juicios </v>
      </c>
      <c r="B6" s="2259"/>
      <c r="C6" s="802">
        <f>+'Bce Clasificado 31.12.2024'!J36</f>
        <v>679000000</v>
      </c>
    </row>
    <row r="7" spans="1:6">
      <c r="A7" s="2259" t="str">
        <f>+'Bce Clasificado 31.12.2024'!H37</f>
        <v>2-1-05-003 Provisión Tipo Comercial</v>
      </c>
      <c r="B7" s="2259"/>
      <c r="C7" s="802">
        <f>+'Bce Clasificado 31.12.2024'!J37</f>
        <v>10000000</v>
      </c>
    </row>
    <row r="8" spans="1:6">
      <c r="A8" s="2259" t="str">
        <f>+'Bce Clasificado 31.12.2024'!H38</f>
        <v>2-1-05-004 Provisión Medioambiental</v>
      </c>
      <c r="B8" s="2259"/>
      <c r="C8" s="802">
        <f>+'Bce Clasificado 31.12.2024'!J38</f>
        <v>120000000</v>
      </c>
    </row>
    <row r="9" spans="1:6">
      <c r="B9" s="928" t="s">
        <v>109</v>
      </c>
      <c r="C9" s="953">
        <f>SUM(C5:C8)</f>
        <v>989000000</v>
      </c>
    </row>
    <row r="10" spans="1:6" ht="13.9" thickBot="1"/>
    <row r="11" spans="1:6">
      <c r="B11" s="2250" t="s">
        <v>1633</v>
      </c>
      <c r="C11" s="2251"/>
      <c r="D11" s="2251"/>
      <c r="E11" s="2251"/>
      <c r="F11" s="2252"/>
    </row>
    <row r="12" spans="1:6">
      <c r="B12" s="2253"/>
      <c r="C12" s="2254"/>
      <c r="D12" s="2254"/>
      <c r="E12" s="2254"/>
      <c r="F12" s="2255"/>
    </row>
    <row r="13" spans="1:6" ht="13.9" thickBot="1">
      <c r="B13" s="2256"/>
      <c r="C13" s="2257"/>
      <c r="D13" s="2257"/>
      <c r="E13" s="2257"/>
      <c r="F13" s="2258"/>
    </row>
    <row r="14" spans="1:6" ht="13.9" thickBot="1"/>
    <row r="15" spans="1:6" ht="16.899999999999999" thickBot="1">
      <c r="A15" s="709"/>
      <c r="B15" s="713" t="s">
        <v>1211</v>
      </c>
      <c r="D15" s="715" t="s">
        <v>1462</v>
      </c>
      <c r="E15" s="716" t="s">
        <v>1472</v>
      </c>
      <c r="F15" s="717" t="s">
        <v>935</v>
      </c>
    </row>
    <row r="16" spans="1:6" ht="16.899999999999999" thickBot="1">
      <c r="A16" s="709"/>
      <c r="B16" s="862" t="str">
        <f>+A5</f>
        <v>2-1-05-001 Provisión Terremoto</v>
      </c>
      <c r="D16" s="718"/>
      <c r="E16" s="719"/>
      <c r="F16" s="720"/>
    </row>
    <row r="17" spans="1:6" ht="16.899999999999999" thickBot="1">
      <c r="A17" s="709"/>
      <c r="B17" s="709"/>
      <c r="C17" s="709"/>
      <c r="D17" s="709"/>
      <c r="E17" s="709"/>
      <c r="F17" s="709"/>
    </row>
    <row r="18" spans="1:6" ht="16.899999999999999" thickBot="1">
      <c r="A18" s="1425" t="s">
        <v>1055</v>
      </c>
      <c r="B18" s="2177" t="s">
        <v>1052</v>
      </c>
      <c r="C18" s="2112"/>
      <c r="D18" s="2113"/>
      <c r="E18" s="1426" t="s">
        <v>1056</v>
      </c>
      <c r="F18" s="1426" t="s">
        <v>1057</v>
      </c>
    </row>
    <row r="19" spans="1:6" ht="16.5">
      <c r="A19" s="723"/>
      <c r="B19" s="724" t="s">
        <v>1058</v>
      </c>
      <c r="C19" s="852"/>
      <c r="D19" s="853" t="s">
        <v>1058</v>
      </c>
      <c r="E19" s="847"/>
      <c r="F19" s="847"/>
    </row>
    <row r="20" spans="1:6" ht="16.5">
      <c r="A20" s="723"/>
      <c r="B20" s="1098"/>
      <c r="C20" s="709"/>
      <c r="D20" s="730"/>
      <c r="E20" s="847"/>
      <c r="F20" s="847"/>
    </row>
    <row r="21" spans="1:6" ht="16.5">
      <c r="A21" s="723"/>
      <c r="B21" s="729"/>
      <c r="C21" s="862"/>
      <c r="D21" s="730"/>
      <c r="E21" s="847"/>
      <c r="F21" s="847"/>
    </row>
    <row r="22" spans="1:6" ht="16.5">
      <c r="A22" s="723"/>
      <c r="B22" s="729" t="s">
        <v>1059</v>
      </c>
      <c r="C22" s="709"/>
      <c r="D22" s="730"/>
      <c r="E22" s="847"/>
      <c r="F22" s="847"/>
    </row>
    <row r="23" spans="1:6" ht="16.899999999999999" thickBot="1">
      <c r="A23" s="731"/>
      <c r="B23" s="732"/>
      <c r="C23" s="733"/>
      <c r="D23" s="734"/>
      <c r="E23" s="848"/>
      <c r="F23" s="848"/>
    </row>
    <row r="24" spans="1:6" ht="13.9" thickBot="1"/>
    <row r="25" spans="1:6">
      <c r="B25" s="2250" t="s">
        <v>1212</v>
      </c>
      <c r="C25" s="2251"/>
      <c r="D25" s="2251"/>
      <c r="E25" s="2251"/>
      <c r="F25" s="2252"/>
    </row>
    <row r="26" spans="1:6">
      <c r="B26" s="2253"/>
      <c r="C26" s="2254"/>
      <c r="D26" s="2254"/>
      <c r="E26" s="2254"/>
      <c r="F26" s="2255"/>
    </row>
    <row r="27" spans="1:6">
      <c r="B27" s="2253"/>
      <c r="C27" s="2254"/>
      <c r="D27" s="2254"/>
      <c r="E27" s="2254"/>
      <c r="F27" s="2255"/>
    </row>
    <row r="28" spans="1:6" ht="13.9" thickBot="1">
      <c r="B28" s="2256"/>
      <c r="C28" s="2257"/>
      <c r="D28" s="2257"/>
      <c r="E28" s="2257"/>
      <c r="F28" s="2258"/>
    </row>
    <row r="30" spans="1:6">
      <c r="A30" s="2260" t="s">
        <v>1102</v>
      </c>
      <c r="B30" s="2262" t="s">
        <v>1213</v>
      </c>
      <c r="C30" s="2262" t="s">
        <v>1214</v>
      </c>
      <c r="D30" s="2264" t="s">
        <v>1061</v>
      </c>
      <c r="E30" s="954" t="s">
        <v>1215</v>
      </c>
    </row>
    <row r="31" spans="1:6">
      <c r="A31" s="2261"/>
      <c r="B31" s="2263"/>
      <c r="C31" s="2263"/>
      <c r="D31" s="2265"/>
      <c r="E31" s="955" t="s">
        <v>1216</v>
      </c>
    </row>
    <row r="32" spans="1:6">
      <c r="A32" s="956">
        <v>1</v>
      </c>
      <c r="B32" s="957" t="s">
        <v>1217</v>
      </c>
      <c r="C32" s="957" t="s">
        <v>1218</v>
      </c>
      <c r="D32" s="958">
        <v>30000000</v>
      </c>
      <c r="E32" s="959">
        <v>0.2</v>
      </c>
    </row>
    <row r="33" spans="1:5">
      <c r="A33" s="956">
        <v>2</v>
      </c>
      <c r="B33" s="957" t="s">
        <v>1219</v>
      </c>
      <c r="C33" s="957" t="s">
        <v>1220</v>
      </c>
      <c r="D33" s="958">
        <v>50000000</v>
      </c>
      <c r="E33" s="960">
        <v>0.7</v>
      </c>
    </row>
    <row r="34" spans="1:5">
      <c r="A34" s="956">
        <v>3</v>
      </c>
      <c r="B34" s="957" t="s">
        <v>1221</v>
      </c>
      <c r="C34" s="957" t="s">
        <v>1222</v>
      </c>
      <c r="D34" s="958">
        <v>50000000</v>
      </c>
      <c r="E34" s="960">
        <v>0.09</v>
      </c>
    </row>
    <row r="35" spans="1:5">
      <c r="A35" s="956">
        <v>4</v>
      </c>
      <c r="B35" s="957" t="s">
        <v>1223</v>
      </c>
      <c r="C35" s="957" t="s">
        <v>1224</v>
      </c>
      <c r="D35" s="958">
        <v>40000000</v>
      </c>
      <c r="E35" s="960">
        <v>0.5</v>
      </c>
    </row>
    <row r="36" spans="1:5">
      <c r="A36" s="956">
        <v>5</v>
      </c>
      <c r="B36" s="957" t="s">
        <v>1225</v>
      </c>
      <c r="C36" s="957" t="s">
        <v>1226</v>
      </c>
      <c r="D36" s="958">
        <v>60000000</v>
      </c>
      <c r="E36" s="960">
        <v>0.3</v>
      </c>
    </row>
    <row r="37" spans="1:5">
      <c r="A37" s="956">
        <v>6</v>
      </c>
      <c r="B37" s="957" t="s">
        <v>1219</v>
      </c>
      <c r="C37" s="957" t="s">
        <v>1227</v>
      </c>
      <c r="D37" s="958">
        <v>20000000</v>
      </c>
      <c r="E37" s="960">
        <v>0.05</v>
      </c>
    </row>
    <row r="38" spans="1:5">
      <c r="A38" s="956">
        <v>7</v>
      </c>
      <c r="B38" s="957" t="s">
        <v>1219</v>
      </c>
      <c r="C38" s="957" t="s">
        <v>1228</v>
      </c>
      <c r="D38" s="958">
        <v>10000000</v>
      </c>
      <c r="E38" s="960">
        <v>0.6</v>
      </c>
    </row>
    <row r="39" spans="1:5">
      <c r="A39" s="956">
        <v>8</v>
      </c>
      <c r="B39" s="957" t="s">
        <v>1229</v>
      </c>
      <c r="C39" s="957" t="s">
        <v>1230</v>
      </c>
      <c r="D39" s="958">
        <v>60000000</v>
      </c>
      <c r="E39" s="960">
        <v>0.3</v>
      </c>
    </row>
    <row r="40" spans="1:5">
      <c r="A40" s="956">
        <v>9</v>
      </c>
      <c r="B40" s="957" t="s">
        <v>1219</v>
      </c>
      <c r="C40" s="957" t="s">
        <v>1231</v>
      </c>
      <c r="D40" s="958">
        <v>20000000</v>
      </c>
      <c r="E40" s="960">
        <v>0.5</v>
      </c>
    </row>
    <row r="41" spans="1:5">
      <c r="A41" s="956">
        <v>10</v>
      </c>
      <c r="B41" s="957" t="s">
        <v>1219</v>
      </c>
      <c r="C41" s="957" t="s">
        <v>1232</v>
      </c>
      <c r="D41" s="958">
        <v>30000000</v>
      </c>
      <c r="E41" s="960">
        <v>7.0000000000000007E-2</v>
      </c>
    </row>
    <row r="42" spans="1:5">
      <c r="A42" s="956">
        <v>11</v>
      </c>
      <c r="B42" s="957" t="s">
        <v>1219</v>
      </c>
      <c r="C42" s="957" t="s">
        <v>1233</v>
      </c>
      <c r="D42" s="958">
        <v>4000000</v>
      </c>
      <c r="E42" s="960">
        <v>0.8</v>
      </c>
    </row>
    <row r="43" spans="1:5">
      <c r="A43" s="956">
        <v>12</v>
      </c>
      <c r="B43" s="957" t="s">
        <v>1219</v>
      </c>
      <c r="C43" s="957" t="s">
        <v>1127</v>
      </c>
      <c r="D43" s="958">
        <v>2000000</v>
      </c>
      <c r="E43" s="960">
        <v>0.67</v>
      </c>
    </row>
    <row r="44" spans="1:5">
      <c r="A44" s="956">
        <v>13</v>
      </c>
      <c r="B44" s="957" t="s">
        <v>1229</v>
      </c>
      <c r="C44" s="957" t="s">
        <v>1234</v>
      </c>
      <c r="D44" s="958">
        <v>6000000</v>
      </c>
      <c r="E44" s="960">
        <v>0.5</v>
      </c>
    </row>
    <row r="45" spans="1:5">
      <c r="A45" s="956">
        <v>14</v>
      </c>
      <c r="B45" s="957" t="s">
        <v>1219</v>
      </c>
      <c r="C45" s="957" t="s">
        <v>1235</v>
      </c>
      <c r="D45" s="958">
        <v>8000000</v>
      </c>
      <c r="E45" s="960">
        <v>0.5</v>
      </c>
    </row>
    <row r="46" spans="1:5">
      <c r="A46" s="956">
        <v>15</v>
      </c>
      <c r="B46" s="957" t="s">
        <v>1219</v>
      </c>
      <c r="C46" s="957" t="s">
        <v>1236</v>
      </c>
      <c r="D46" s="958">
        <v>14000000</v>
      </c>
      <c r="E46" s="960">
        <v>0.3</v>
      </c>
    </row>
    <row r="47" spans="1:5">
      <c r="A47" s="956">
        <v>16</v>
      </c>
      <c r="B47" s="957" t="s">
        <v>1237</v>
      </c>
      <c r="C47" s="957" t="s">
        <v>1238</v>
      </c>
      <c r="D47" s="958">
        <v>15000000</v>
      </c>
      <c r="E47" s="960">
        <v>0.59</v>
      </c>
    </row>
    <row r="48" spans="1:5">
      <c r="A48" s="956">
        <v>17</v>
      </c>
      <c r="B48" s="957" t="s">
        <v>1237</v>
      </c>
      <c r="C48" s="957" t="s">
        <v>1239</v>
      </c>
      <c r="D48" s="1181">
        <v>25000000</v>
      </c>
      <c r="E48" s="960">
        <v>0.3</v>
      </c>
    </row>
    <row r="49" spans="1:7">
      <c r="A49" s="956">
        <v>18</v>
      </c>
      <c r="B49" s="957" t="s">
        <v>1219</v>
      </c>
      <c r="C49" s="957" t="s">
        <v>1240</v>
      </c>
      <c r="D49" s="958">
        <v>40000000</v>
      </c>
      <c r="E49" s="960">
        <v>0.53</v>
      </c>
    </row>
    <row r="50" spans="1:7">
      <c r="A50" s="956">
        <v>19</v>
      </c>
      <c r="B50" s="957" t="s">
        <v>1237</v>
      </c>
      <c r="C50" s="957" t="s">
        <v>1241</v>
      </c>
      <c r="D50" s="958">
        <v>30000000</v>
      </c>
      <c r="E50" s="960">
        <v>0.5</v>
      </c>
    </row>
    <row r="51" spans="1:7">
      <c r="A51" s="956">
        <v>20</v>
      </c>
      <c r="B51" s="957" t="s">
        <v>1219</v>
      </c>
      <c r="C51" s="957" t="s">
        <v>1242</v>
      </c>
      <c r="D51" s="958">
        <v>18000000</v>
      </c>
      <c r="E51" s="960">
        <v>0.5</v>
      </c>
    </row>
    <row r="52" spans="1:7">
      <c r="A52" s="956">
        <v>21</v>
      </c>
      <c r="B52" s="957" t="s">
        <v>1217</v>
      </c>
      <c r="C52" s="957" t="s">
        <v>1243</v>
      </c>
      <c r="D52" s="958">
        <v>19000000</v>
      </c>
      <c r="E52" s="960">
        <v>0.4</v>
      </c>
    </row>
    <row r="53" spans="1:7">
      <c r="A53" s="956">
        <v>22</v>
      </c>
      <c r="B53" s="957" t="s">
        <v>1229</v>
      </c>
      <c r="C53" s="957" t="s">
        <v>1244</v>
      </c>
      <c r="D53" s="958">
        <v>13000000</v>
      </c>
      <c r="E53" s="960">
        <v>0.2</v>
      </c>
    </row>
    <row r="54" spans="1:7">
      <c r="A54" s="956">
        <v>23</v>
      </c>
      <c r="B54" s="957" t="s">
        <v>1245</v>
      </c>
      <c r="C54" s="957" t="s">
        <v>1246</v>
      </c>
      <c r="D54" s="958">
        <v>40000000</v>
      </c>
      <c r="E54" s="960">
        <v>1</v>
      </c>
    </row>
    <row r="55" spans="1:7">
      <c r="A55" s="956">
        <v>24</v>
      </c>
      <c r="B55" s="957" t="s">
        <v>1219</v>
      </c>
      <c r="C55" s="957" t="s">
        <v>1247</v>
      </c>
      <c r="D55" s="958">
        <v>30000000</v>
      </c>
      <c r="E55" s="960">
        <v>0.55000000000000004</v>
      </c>
    </row>
    <row r="56" spans="1:7">
      <c r="A56" s="956">
        <v>25</v>
      </c>
      <c r="B56" s="957" t="s">
        <v>1219</v>
      </c>
      <c r="C56" s="957" t="s">
        <v>1248</v>
      </c>
      <c r="D56" s="958">
        <v>10000000</v>
      </c>
      <c r="E56" s="960">
        <v>0.5</v>
      </c>
    </row>
    <row r="57" spans="1:7">
      <c r="A57" s="961"/>
      <c r="B57" s="957" t="s">
        <v>1249</v>
      </c>
      <c r="C57" s="957"/>
      <c r="D57" s="958">
        <v>35000000</v>
      </c>
      <c r="E57" s="957"/>
    </row>
    <row r="58" spans="1:7">
      <c r="A58" s="961"/>
      <c r="B58" s="962" t="s">
        <v>189</v>
      </c>
      <c r="C58" s="962"/>
      <c r="D58" s="963">
        <f>SUM(D32:D57)</f>
        <v>679000000</v>
      </c>
      <c r="E58" s="964"/>
    </row>
    <row r="60" spans="1:7">
      <c r="A60" s="2266" t="s">
        <v>1250</v>
      </c>
      <c r="B60" s="2267"/>
      <c r="C60" s="2267"/>
      <c r="D60" s="2267"/>
      <c r="E60" s="2268"/>
    </row>
    <row r="62" spans="1:7">
      <c r="A62" s="2260" t="s">
        <v>1102</v>
      </c>
      <c r="B62" s="2262" t="s">
        <v>1213</v>
      </c>
      <c r="C62" s="2262" t="s">
        <v>1214</v>
      </c>
      <c r="D62" s="2264" t="s">
        <v>1061</v>
      </c>
      <c r="E62" s="954" t="s">
        <v>1215</v>
      </c>
      <c r="F62" s="2269" t="s">
        <v>1251</v>
      </c>
      <c r="G62" s="2269" t="s">
        <v>1252</v>
      </c>
    </row>
    <row r="63" spans="1:7">
      <c r="A63" s="2261"/>
      <c r="B63" s="2263"/>
      <c r="C63" s="2263"/>
      <c r="D63" s="2265"/>
      <c r="E63" s="955" t="s">
        <v>1216</v>
      </c>
      <c r="F63" s="2269"/>
      <c r="G63" s="2269"/>
    </row>
    <row r="64" spans="1:7">
      <c r="A64" s="956">
        <v>1</v>
      </c>
      <c r="B64" s="957" t="s">
        <v>1217</v>
      </c>
      <c r="C64" s="957" t="s">
        <v>1218</v>
      </c>
      <c r="D64" s="958">
        <v>30000000</v>
      </c>
      <c r="E64" s="959">
        <v>0.2</v>
      </c>
      <c r="F64" s="910"/>
      <c r="G64" s="910"/>
    </row>
    <row r="65" spans="1:7">
      <c r="A65" s="956">
        <v>2</v>
      </c>
      <c r="B65" s="957" t="s">
        <v>1219</v>
      </c>
      <c r="C65" s="957" t="s">
        <v>1220</v>
      </c>
      <c r="D65" s="958">
        <v>50000000</v>
      </c>
      <c r="E65" s="960">
        <v>0.7</v>
      </c>
      <c r="F65" s="1129"/>
      <c r="G65" s="910"/>
    </row>
    <row r="66" spans="1:7">
      <c r="A66" s="956">
        <v>3</v>
      </c>
      <c r="B66" s="957" t="s">
        <v>1221</v>
      </c>
      <c r="C66" s="957" t="s">
        <v>1222</v>
      </c>
      <c r="D66" s="958">
        <v>50000000</v>
      </c>
      <c r="E66" s="960">
        <v>0.09</v>
      </c>
      <c r="F66" s="910"/>
      <c r="G66" s="910"/>
    </row>
    <row r="67" spans="1:7">
      <c r="A67" s="956">
        <v>4</v>
      </c>
      <c r="B67" s="957" t="s">
        <v>1223</v>
      </c>
      <c r="C67" s="957" t="s">
        <v>1224</v>
      </c>
      <c r="D67" s="958">
        <v>40000000</v>
      </c>
      <c r="E67" s="960">
        <v>0.5</v>
      </c>
      <c r="F67" s="910"/>
      <c r="G67" s="910"/>
    </row>
    <row r="68" spans="1:7">
      <c r="A68" s="956">
        <v>5</v>
      </c>
      <c r="B68" s="957" t="s">
        <v>1225</v>
      </c>
      <c r="C68" s="957" t="s">
        <v>1226</v>
      </c>
      <c r="D68" s="958">
        <v>60000000</v>
      </c>
      <c r="E68" s="960">
        <v>0.3</v>
      </c>
      <c r="F68" s="910"/>
      <c r="G68" s="910"/>
    </row>
    <row r="69" spans="1:7">
      <c r="A69" s="956">
        <v>6</v>
      </c>
      <c r="B69" s="957" t="s">
        <v>1219</v>
      </c>
      <c r="C69" s="957" t="s">
        <v>1227</v>
      </c>
      <c r="D69" s="958">
        <v>20000000</v>
      </c>
      <c r="E69" s="960">
        <v>0.05</v>
      </c>
      <c r="F69" s="910"/>
      <c r="G69" s="910"/>
    </row>
    <row r="70" spans="1:7">
      <c r="A70" s="956">
        <v>7</v>
      </c>
      <c r="B70" s="957" t="s">
        <v>1219</v>
      </c>
      <c r="C70" s="957" t="s">
        <v>1228</v>
      </c>
      <c r="D70" s="958">
        <v>10000000</v>
      </c>
      <c r="E70" s="960">
        <v>0.6</v>
      </c>
      <c r="F70" s="1129"/>
      <c r="G70" s="910"/>
    </row>
    <row r="71" spans="1:7">
      <c r="A71" s="956">
        <v>8</v>
      </c>
      <c r="B71" s="957" t="s">
        <v>1229</v>
      </c>
      <c r="C71" s="957" t="s">
        <v>1230</v>
      </c>
      <c r="D71" s="958">
        <v>60000000</v>
      </c>
      <c r="E71" s="960">
        <v>0.3</v>
      </c>
      <c r="F71" s="910"/>
      <c r="G71" s="910"/>
    </row>
    <row r="72" spans="1:7">
      <c r="A72" s="956">
        <v>9</v>
      </c>
      <c r="B72" s="957" t="s">
        <v>1219</v>
      </c>
      <c r="C72" s="957" t="s">
        <v>1231</v>
      </c>
      <c r="D72" s="958">
        <v>20000000</v>
      </c>
      <c r="E72" s="960">
        <v>0.5</v>
      </c>
      <c r="F72" s="910"/>
      <c r="G72" s="910"/>
    </row>
    <row r="73" spans="1:7">
      <c r="A73" s="956">
        <v>10</v>
      </c>
      <c r="B73" s="957" t="s">
        <v>1219</v>
      </c>
      <c r="C73" s="957" t="s">
        <v>1232</v>
      </c>
      <c r="D73" s="958">
        <v>30000000</v>
      </c>
      <c r="E73" s="960">
        <v>7.0000000000000007E-2</v>
      </c>
      <c r="F73" s="910"/>
      <c r="G73" s="910"/>
    </row>
    <row r="74" spans="1:7">
      <c r="A74" s="956">
        <v>11</v>
      </c>
      <c r="B74" s="957" t="s">
        <v>1219</v>
      </c>
      <c r="C74" s="957" t="s">
        <v>1233</v>
      </c>
      <c r="D74" s="958">
        <v>4000000</v>
      </c>
      <c r="E74" s="960">
        <v>0.8</v>
      </c>
      <c r="F74" s="1129"/>
      <c r="G74" s="910"/>
    </row>
    <row r="75" spans="1:7">
      <c r="A75" s="956">
        <v>12</v>
      </c>
      <c r="B75" s="957" t="s">
        <v>1219</v>
      </c>
      <c r="C75" s="957" t="s">
        <v>1127</v>
      </c>
      <c r="D75" s="958">
        <v>2000000</v>
      </c>
      <c r="E75" s="960">
        <v>0.67</v>
      </c>
      <c r="F75" s="1129"/>
      <c r="G75" s="910"/>
    </row>
    <row r="76" spans="1:7">
      <c r="A76" s="956">
        <v>13</v>
      </c>
      <c r="B76" s="957" t="s">
        <v>1229</v>
      </c>
      <c r="C76" s="957" t="s">
        <v>1234</v>
      </c>
      <c r="D76" s="958">
        <v>6000000</v>
      </c>
      <c r="E76" s="960">
        <v>0.5</v>
      </c>
      <c r="F76" s="910"/>
      <c r="G76" s="910"/>
    </row>
    <row r="77" spans="1:7">
      <c r="A77" s="956">
        <v>14</v>
      </c>
      <c r="B77" s="957" t="s">
        <v>1219</v>
      </c>
      <c r="C77" s="957" t="s">
        <v>1235</v>
      </c>
      <c r="D77" s="958">
        <v>8000000</v>
      </c>
      <c r="E77" s="960">
        <v>0.5</v>
      </c>
      <c r="F77" s="910"/>
      <c r="G77" s="910"/>
    </row>
    <row r="78" spans="1:7">
      <c r="A78" s="956">
        <v>15</v>
      </c>
      <c r="B78" s="957" t="s">
        <v>1219</v>
      </c>
      <c r="C78" s="957" t="s">
        <v>1236</v>
      </c>
      <c r="D78" s="958">
        <v>14000000</v>
      </c>
      <c r="E78" s="960">
        <v>0.3</v>
      </c>
      <c r="F78" s="910"/>
      <c r="G78" s="910"/>
    </row>
    <row r="79" spans="1:7">
      <c r="A79" s="956">
        <v>16</v>
      </c>
      <c r="B79" s="957" t="s">
        <v>1237</v>
      </c>
      <c r="C79" s="957" t="s">
        <v>1238</v>
      </c>
      <c r="D79" s="958">
        <v>15000000</v>
      </c>
      <c r="E79" s="960">
        <v>0.59</v>
      </c>
      <c r="F79" s="1129"/>
      <c r="G79" s="910"/>
    </row>
    <row r="80" spans="1:7">
      <c r="A80" s="1179">
        <v>17</v>
      </c>
      <c r="B80" s="1180" t="s">
        <v>1237</v>
      </c>
      <c r="C80" s="1180" t="s">
        <v>1239</v>
      </c>
      <c r="D80" s="1181">
        <v>25000000</v>
      </c>
      <c r="E80" s="1182">
        <v>0.3</v>
      </c>
      <c r="F80" s="910"/>
      <c r="G80" s="910"/>
    </row>
    <row r="81" spans="1:9">
      <c r="A81" s="956">
        <v>18</v>
      </c>
      <c r="B81" s="957" t="s">
        <v>1219</v>
      </c>
      <c r="C81" s="957" t="s">
        <v>1240</v>
      </c>
      <c r="D81" s="958">
        <v>40000000</v>
      </c>
      <c r="E81" s="960">
        <v>0.53</v>
      </c>
      <c r="F81" s="1129"/>
      <c r="G81" s="910"/>
    </row>
    <row r="82" spans="1:9">
      <c r="A82" s="956">
        <v>19</v>
      </c>
      <c r="B82" s="957" t="s">
        <v>1237</v>
      </c>
      <c r="C82" s="957" t="s">
        <v>1241</v>
      </c>
      <c r="D82" s="958">
        <v>30000000</v>
      </c>
      <c r="E82" s="960">
        <v>0.5</v>
      </c>
      <c r="F82" s="910"/>
      <c r="G82" s="910"/>
    </row>
    <row r="83" spans="1:9">
      <c r="A83" s="956">
        <v>20</v>
      </c>
      <c r="B83" s="957" t="s">
        <v>1219</v>
      </c>
      <c r="C83" s="957" t="s">
        <v>1242</v>
      </c>
      <c r="D83" s="958">
        <v>18000000</v>
      </c>
      <c r="E83" s="960">
        <v>0.5</v>
      </c>
      <c r="F83" s="910"/>
      <c r="G83" s="910"/>
    </row>
    <row r="84" spans="1:9">
      <c r="A84" s="956">
        <v>21</v>
      </c>
      <c r="B84" s="957" t="s">
        <v>1217</v>
      </c>
      <c r="C84" s="957" t="s">
        <v>1243</v>
      </c>
      <c r="D84" s="958">
        <v>19000000</v>
      </c>
      <c r="E84" s="960">
        <v>0.4</v>
      </c>
      <c r="F84" s="910"/>
      <c r="G84" s="910"/>
    </row>
    <row r="85" spans="1:9">
      <c r="A85" s="956">
        <v>22</v>
      </c>
      <c r="B85" s="957" t="s">
        <v>1229</v>
      </c>
      <c r="C85" s="957" t="s">
        <v>1244</v>
      </c>
      <c r="D85" s="958">
        <v>13000000</v>
      </c>
      <c r="E85" s="960">
        <v>0.2</v>
      </c>
      <c r="F85" s="910"/>
      <c r="G85" s="910"/>
    </row>
    <row r="86" spans="1:9">
      <c r="A86" s="956">
        <v>23</v>
      </c>
      <c r="B86" s="957" t="s">
        <v>1245</v>
      </c>
      <c r="C86" s="957" t="s">
        <v>1246</v>
      </c>
      <c r="D86" s="958">
        <v>40000000</v>
      </c>
      <c r="E86" s="960">
        <v>1</v>
      </c>
      <c r="F86" s="1129"/>
      <c r="G86" s="910"/>
    </row>
    <row r="87" spans="1:9">
      <c r="A87" s="956">
        <v>24</v>
      </c>
      <c r="B87" s="957" t="s">
        <v>1219</v>
      </c>
      <c r="C87" s="957" t="s">
        <v>1247</v>
      </c>
      <c r="D87" s="958">
        <v>30000000</v>
      </c>
      <c r="E87" s="960">
        <v>0.55000000000000004</v>
      </c>
      <c r="F87" s="1129"/>
      <c r="G87" s="910"/>
    </row>
    <row r="88" spans="1:9">
      <c r="A88" s="956">
        <v>25</v>
      </c>
      <c r="B88" s="957" t="s">
        <v>1219</v>
      </c>
      <c r="C88" s="957" t="s">
        <v>1248</v>
      </c>
      <c r="D88" s="958">
        <v>10000000</v>
      </c>
      <c r="E88" s="960">
        <v>0.5</v>
      </c>
      <c r="F88" s="910"/>
      <c r="G88" s="910"/>
    </row>
    <row r="89" spans="1:9">
      <c r="A89" s="961"/>
      <c r="B89" s="957" t="s">
        <v>1249</v>
      </c>
      <c r="C89" s="957"/>
      <c r="D89" s="958">
        <v>35000000</v>
      </c>
      <c r="E89" s="1130"/>
      <c r="F89" s="1131"/>
      <c r="G89" s="1131"/>
    </row>
    <row r="90" spans="1:9">
      <c r="A90" s="961"/>
      <c r="B90" s="962" t="s">
        <v>189</v>
      </c>
      <c r="C90" s="962"/>
      <c r="D90" s="963">
        <f>SUM(D64:D89)</f>
        <v>679000000</v>
      </c>
      <c r="E90" s="964"/>
      <c r="F90" s="1132">
        <f>SUM(F64:F89)</f>
        <v>0</v>
      </c>
      <c r="G90" s="1131"/>
      <c r="I90" s="869"/>
    </row>
    <row r="92" spans="1:9" ht="13.9" thickBot="1"/>
    <row r="93" spans="1:9" ht="16.899999999999999" thickBot="1">
      <c r="A93" s="709"/>
      <c r="B93" s="713" t="s">
        <v>1211</v>
      </c>
      <c r="D93" s="715" t="s">
        <v>1462</v>
      </c>
      <c r="E93" s="716" t="s">
        <v>1472</v>
      </c>
      <c r="F93" s="717" t="s">
        <v>935</v>
      </c>
    </row>
    <row r="94" spans="1:9" ht="16.899999999999999" thickBot="1">
      <c r="A94" s="709"/>
      <c r="B94" s="862" t="str">
        <f>+A6</f>
        <v xml:space="preserve">2-1-05-002 Provision por Juicios </v>
      </c>
      <c r="D94" s="718"/>
      <c r="E94" s="719"/>
      <c r="F94" s="720"/>
    </row>
    <row r="95" spans="1:9" ht="16.899999999999999" thickBot="1">
      <c r="A95" s="709"/>
      <c r="B95" s="709"/>
      <c r="C95" s="709"/>
      <c r="D95" s="709"/>
      <c r="E95" s="709"/>
      <c r="F95" s="709"/>
    </row>
    <row r="96" spans="1:9" ht="16.899999999999999" thickBot="1">
      <c r="A96" s="721" t="s">
        <v>1055</v>
      </c>
      <c r="B96" s="2270" t="s">
        <v>1052</v>
      </c>
      <c r="C96" s="2271"/>
      <c r="D96" s="2272"/>
      <c r="E96" s="722" t="s">
        <v>1056</v>
      </c>
      <c r="F96" s="722" t="s">
        <v>1057</v>
      </c>
    </row>
    <row r="97" spans="1:7" ht="16.5">
      <c r="A97" s="723"/>
      <c r="B97" s="724" t="s">
        <v>1058</v>
      </c>
      <c r="C97" s="852"/>
      <c r="D97" s="853" t="s">
        <v>1058</v>
      </c>
      <c r="E97" s="847"/>
      <c r="F97" s="847"/>
    </row>
    <row r="98" spans="1:7" ht="16.5">
      <c r="A98" s="723"/>
      <c r="B98" s="1098"/>
      <c r="C98" s="709"/>
      <c r="D98" s="730"/>
      <c r="E98" s="847"/>
      <c r="F98" s="847"/>
    </row>
    <row r="99" spans="1:7" ht="16.5">
      <c r="A99" s="723"/>
      <c r="B99" s="729"/>
      <c r="C99" s="709"/>
      <c r="D99" s="730"/>
      <c r="E99" s="847"/>
      <c r="F99" s="847"/>
    </row>
    <row r="100" spans="1:7" ht="16.5">
      <c r="A100" s="723"/>
      <c r="B100" s="729" t="s">
        <v>1059</v>
      </c>
      <c r="C100" s="709"/>
      <c r="D100" s="730"/>
      <c r="E100" s="847"/>
      <c r="F100" s="847"/>
    </row>
    <row r="101" spans="1:7" ht="16.899999999999999" thickBot="1">
      <c r="A101" s="731"/>
      <c r="B101" s="732"/>
      <c r="C101" s="733"/>
      <c r="D101" s="734"/>
      <c r="E101" s="848"/>
      <c r="F101" s="848"/>
    </row>
    <row r="103" spans="1:7" ht="13.9" thickBot="1"/>
    <row r="104" spans="1:7">
      <c r="B104" s="2250" t="s">
        <v>1317</v>
      </c>
      <c r="C104" s="2251"/>
      <c r="D104" s="2251"/>
      <c r="E104" s="2251"/>
      <c r="F104" s="2252"/>
    </row>
    <row r="105" spans="1:7">
      <c r="B105" s="2253"/>
      <c r="C105" s="2254"/>
      <c r="D105" s="2254"/>
      <c r="E105" s="2254"/>
      <c r="F105" s="2255"/>
    </row>
    <row r="106" spans="1:7" ht="13.9" thickBot="1">
      <c r="B106" s="2256"/>
      <c r="C106" s="2257"/>
      <c r="D106" s="2257"/>
      <c r="E106" s="2257"/>
      <c r="F106" s="2258"/>
    </row>
    <row r="107" spans="1:7" ht="13.9" thickBot="1"/>
    <row r="108" spans="1:7" ht="13.9" thickBot="1">
      <c r="B108" s="965" t="s">
        <v>1253</v>
      </c>
      <c r="C108" s="966">
        <v>2019</v>
      </c>
      <c r="D108" s="966">
        <v>2020</v>
      </c>
      <c r="E108" s="1183">
        <v>2021</v>
      </c>
      <c r="F108" s="1183">
        <v>2022</v>
      </c>
      <c r="G108" s="1183">
        <v>2023</v>
      </c>
    </row>
    <row r="109" spans="1:7" ht="13.9" thickBot="1">
      <c r="B109" s="967" t="s">
        <v>1254</v>
      </c>
      <c r="C109" s="968">
        <v>0.04</v>
      </c>
      <c r="D109" s="968">
        <v>3.5000000000000003E-2</v>
      </c>
      <c r="E109" s="1184">
        <v>2.8000000000000001E-2</v>
      </c>
      <c r="F109" s="1184">
        <v>4.1000000000000002E-2</v>
      </c>
      <c r="G109" s="1184">
        <v>5.2999999999999999E-2</v>
      </c>
    </row>
    <row r="110" spans="1:7" ht="13.9" thickBot="1">
      <c r="B110" s="967" t="s">
        <v>1255</v>
      </c>
      <c r="C110" s="968">
        <v>8.4000000000000005E-2</v>
      </c>
      <c r="D110" s="968">
        <v>7.2999999999999995E-2</v>
      </c>
      <c r="E110" s="1184">
        <v>9.4E-2</v>
      </c>
      <c r="F110" s="1184">
        <v>5.8000000000000003E-2</v>
      </c>
      <c r="G110" s="1184">
        <v>8.5999999999999993E-2</v>
      </c>
    </row>
    <row r="111" spans="1:7">
      <c r="E111" s="759"/>
      <c r="F111" s="759"/>
      <c r="G111" s="759"/>
    </row>
    <row r="112" spans="1:7">
      <c r="E112" s="814"/>
      <c r="F112" s="814"/>
      <c r="G112" s="814"/>
    </row>
    <row r="113" spans="1:7">
      <c r="F113" s="814"/>
    </row>
    <row r="115" spans="1:7">
      <c r="B115" s="969" t="s">
        <v>1177</v>
      </c>
      <c r="C115" s="969" t="s">
        <v>1256</v>
      </c>
      <c r="D115" s="969" t="s">
        <v>509</v>
      </c>
      <c r="E115" s="969" t="s">
        <v>1177</v>
      </c>
      <c r="F115" s="969" t="s">
        <v>1092</v>
      </c>
      <c r="G115" s="969" t="s">
        <v>801</v>
      </c>
    </row>
    <row r="116" spans="1:7">
      <c r="B116" s="2273">
        <v>90000</v>
      </c>
      <c r="C116" s="811" t="s">
        <v>1254</v>
      </c>
      <c r="D116" s="811"/>
      <c r="E116" s="911"/>
      <c r="F116" s="911"/>
      <c r="G116" s="911"/>
    </row>
    <row r="117" spans="1:7">
      <c r="B117" s="2273"/>
      <c r="C117" s="811" t="s">
        <v>1255</v>
      </c>
      <c r="D117" s="811"/>
      <c r="E117" s="911"/>
      <c r="F117" s="911"/>
      <c r="G117" s="911"/>
    </row>
    <row r="119" spans="1:7" ht="13.9" thickBot="1"/>
    <row r="120" spans="1:7" ht="16.899999999999999" thickBot="1">
      <c r="A120" s="709"/>
      <c r="B120" s="713" t="s">
        <v>1211</v>
      </c>
      <c r="D120" s="715" t="s">
        <v>1462</v>
      </c>
      <c r="E120" s="716" t="s">
        <v>1472</v>
      </c>
      <c r="F120" s="717" t="s">
        <v>935</v>
      </c>
    </row>
    <row r="121" spans="1:7" ht="16.899999999999999" thickBot="1">
      <c r="A121" s="709"/>
      <c r="B121" s="862" t="str">
        <f>+A7</f>
        <v>2-1-05-003 Provisión Tipo Comercial</v>
      </c>
      <c r="D121" s="718"/>
      <c r="E121" s="719"/>
      <c r="F121" s="720"/>
    </row>
    <row r="122" spans="1:7" ht="16.899999999999999" thickBot="1">
      <c r="A122" s="709"/>
      <c r="B122" s="709"/>
      <c r="C122" s="709"/>
      <c r="D122" s="709"/>
      <c r="E122" s="709"/>
      <c r="F122" s="709"/>
    </row>
    <row r="123" spans="1:7" ht="16.899999999999999" thickBot="1">
      <c r="A123" s="721" t="s">
        <v>1055</v>
      </c>
      <c r="B123" s="2270" t="s">
        <v>1052</v>
      </c>
      <c r="C123" s="2271"/>
      <c r="D123" s="2272"/>
      <c r="E123" s="722" t="s">
        <v>1056</v>
      </c>
      <c r="F123" s="722" t="s">
        <v>1057</v>
      </c>
    </row>
    <row r="124" spans="1:7" ht="16.5">
      <c r="A124" s="723"/>
      <c r="B124" s="724" t="s">
        <v>1058</v>
      </c>
      <c r="C124" s="852"/>
      <c r="D124" s="853" t="s">
        <v>1058</v>
      </c>
      <c r="E124" s="847"/>
      <c r="F124" s="847"/>
    </row>
    <row r="125" spans="1:7" ht="16.5">
      <c r="A125" s="723"/>
      <c r="B125" s="729"/>
      <c r="C125" s="709"/>
      <c r="D125" s="730"/>
      <c r="E125" s="847"/>
      <c r="F125" s="847"/>
    </row>
    <row r="126" spans="1:7" ht="16.5">
      <c r="A126" s="723"/>
      <c r="B126" s="729"/>
      <c r="C126" s="862"/>
      <c r="D126" s="730"/>
      <c r="E126" s="847"/>
      <c r="F126" s="847"/>
    </row>
    <row r="127" spans="1:7" ht="16.5">
      <c r="A127" s="723"/>
      <c r="B127" s="729" t="s">
        <v>1059</v>
      </c>
      <c r="C127" s="709"/>
      <c r="D127" s="730"/>
      <c r="E127" s="847"/>
      <c r="F127" s="847"/>
    </row>
    <row r="128" spans="1:7" ht="16.899999999999999" thickBot="1">
      <c r="A128" s="731"/>
      <c r="B128" s="732"/>
      <c r="C128" s="733"/>
      <c r="D128" s="734"/>
      <c r="E128" s="848"/>
      <c r="F128" s="848"/>
    </row>
    <row r="130" spans="2:6" ht="13.9" thickBot="1"/>
    <row r="131" spans="2:6">
      <c r="B131" s="2250" t="s">
        <v>1257</v>
      </c>
      <c r="C131" s="2251"/>
      <c r="D131" s="2251"/>
      <c r="E131" s="2251"/>
      <c r="F131" s="2252"/>
    </row>
    <row r="132" spans="2:6" ht="13.9" thickBot="1">
      <c r="B132" s="2256"/>
      <c r="C132" s="2257"/>
      <c r="D132" s="2257"/>
      <c r="E132" s="2257"/>
      <c r="F132" s="2258"/>
    </row>
    <row r="133" spans="2:6" ht="13.9" thickBot="1"/>
    <row r="134" spans="2:6">
      <c r="B134" s="2250" t="s">
        <v>1461</v>
      </c>
      <c r="C134" s="2251"/>
      <c r="D134" s="2251"/>
      <c r="E134" s="2251"/>
      <c r="F134" s="2252"/>
    </row>
    <row r="135" spans="2:6">
      <c r="B135" s="2253"/>
      <c r="C135" s="2254"/>
      <c r="D135" s="2254"/>
      <c r="E135" s="2254"/>
      <c r="F135" s="2255"/>
    </row>
    <row r="136" spans="2:6" ht="13.9" thickBot="1">
      <c r="B136" s="2256"/>
      <c r="C136" s="2257"/>
      <c r="D136" s="2257"/>
      <c r="E136" s="2257"/>
      <c r="F136" s="2258"/>
    </row>
    <row r="137" spans="2:6" ht="13.9" thickBot="1"/>
    <row r="138" spans="2:6">
      <c r="B138" s="2250" t="s">
        <v>1632</v>
      </c>
      <c r="C138" s="2251"/>
      <c r="D138" s="2251"/>
      <c r="E138" s="2251"/>
      <c r="F138" s="2252"/>
    </row>
    <row r="139" spans="2:6" ht="13.9" thickBot="1">
      <c r="B139" s="2256"/>
      <c r="C139" s="2257"/>
      <c r="D139" s="2257"/>
      <c r="E139" s="2257"/>
      <c r="F139" s="2258"/>
    </row>
  </sheetData>
  <mergeCells count="26">
    <mergeCell ref="G62:G63"/>
    <mergeCell ref="B96:D96"/>
    <mergeCell ref="B104:F106"/>
    <mergeCell ref="B116:B117"/>
    <mergeCell ref="B123:D123"/>
    <mergeCell ref="A62:A63"/>
    <mergeCell ref="B62:B63"/>
    <mergeCell ref="C62:C63"/>
    <mergeCell ref="D62:D63"/>
    <mergeCell ref="F62:F63"/>
    <mergeCell ref="B134:F136"/>
    <mergeCell ref="B138:F139"/>
    <mergeCell ref="B11:F13"/>
    <mergeCell ref="B2:F2"/>
    <mergeCell ref="A5:B5"/>
    <mergeCell ref="A6:B6"/>
    <mergeCell ref="A7:B7"/>
    <mergeCell ref="A8:B8"/>
    <mergeCell ref="B18:D18"/>
    <mergeCell ref="B25:F28"/>
    <mergeCell ref="A30:A31"/>
    <mergeCell ref="B30:B31"/>
    <mergeCell ref="C30:C31"/>
    <mergeCell ref="D30:D31"/>
    <mergeCell ref="B131:F132"/>
    <mergeCell ref="A60:E60"/>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8C0F-8FB0-4FFF-A9BE-62030FC28606}">
  <dimension ref="A1:I58"/>
  <sheetViews>
    <sheetView topLeftCell="A52" workbookViewId="0">
      <selection activeCell="H17" sqref="H17"/>
    </sheetView>
  </sheetViews>
  <sheetFormatPr baseColWidth="10" defaultColWidth="10.86328125" defaultRowHeight="16.5"/>
  <cols>
    <col min="1" max="1" width="17.86328125" style="709" customWidth="1"/>
    <col min="2" max="2" width="36.1328125" style="709" customWidth="1"/>
    <col min="3" max="3" width="19.33203125" style="709" bestFit="1" customWidth="1"/>
    <col min="4" max="4" width="14.796875" style="709" bestFit="1" customWidth="1"/>
    <col min="5" max="5" width="6.33203125" style="709" bestFit="1" customWidth="1"/>
    <col min="6" max="6" width="27.6640625" style="709" customWidth="1"/>
    <col min="7" max="7" width="19.46484375" style="709" bestFit="1" customWidth="1"/>
    <col min="8" max="8" width="22.46484375" style="709" bestFit="1" customWidth="1"/>
    <col min="9" max="9" width="17" style="709" bestFit="1" customWidth="1"/>
    <col min="10" max="16384" width="10.86328125" style="709"/>
  </cols>
  <sheetData>
    <row r="1" spans="1:9" ht="16.899999999999999" thickBot="1"/>
    <row r="2" spans="1:9" ht="16.899999999999999" thickBot="1">
      <c r="B2" s="2059" t="s">
        <v>1203</v>
      </c>
      <c r="C2" s="2060"/>
      <c r="D2" s="2060"/>
      <c r="E2" s="2060"/>
      <c r="F2" s="2061"/>
    </row>
    <row r="3" spans="1:9" ht="16.899999999999999" thickBot="1"/>
    <row r="4" spans="1:9" ht="16.899999999999999" thickBot="1">
      <c r="B4" s="2274" t="s">
        <v>984</v>
      </c>
      <c r="C4" s="2276"/>
      <c r="D4" s="2275"/>
      <c r="F4" s="934"/>
    </row>
    <row r="6" spans="1:9" ht="33">
      <c r="B6" s="935" t="s">
        <v>1052</v>
      </c>
      <c r="C6" s="936" t="s">
        <v>1204</v>
      </c>
      <c r="D6" s="936" t="s">
        <v>1205</v>
      </c>
      <c r="E6" s="937" t="s">
        <v>509</v>
      </c>
      <c r="F6" s="936" t="s">
        <v>1206</v>
      </c>
      <c r="G6" s="937" t="s">
        <v>1155</v>
      </c>
      <c r="H6" s="937" t="s">
        <v>1634</v>
      </c>
    </row>
    <row r="7" spans="1:9">
      <c r="A7" s="821" t="str">
        <f>+'Bce 8 Columnas'!B41</f>
        <v>1-2-01-001 Empresa Relacionada FC</v>
      </c>
      <c r="B7" s="1176"/>
      <c r="C7" s="1177">
        <v>10</v>
      </c>
      <c r="D7" s="1177">
        <v>2</v>
      </c>
      <c r="E7" s="1177">
        <v>30</v>
      </c>
      <c r="F7" s="843">
        <v>120000000</v>
      </c>
      <c r="G7" s="1178">
        <f>+'Bce 8 Columnas'!C41</f>
        <v>195000000</v>
      </c>
      <c r="H7" s="1178">
        <f>+C20*E7%</f>
        <v>45000000</v>
      </c>
      <c r="I7" s="1078"/>
    </row>
    <row r="8" spans="1:9">
      <c r="A8" s="821" t="str">
        <f>+'Bce 8 Columnas'!B42</f>
        <v>1-2-01-002 Empresa Relacionada B&amp;N</v>
      </c>
      <c r="B8" s="1176"/>
      <c r="C8" s="1177">
        <v>8</v>
      </c>
      <c r="D8" s="1177">
        <v>0</v>
      </c>
      <c r="E8" s="1177">
        <v>50</v>
      </c>
      <c r="F8" s="843">
        <v>9000000</v>
      </c>
      <c r="G8" s="1178">
        <f>+'Bce 8 Columnas'!C42</f>
        <v>185000000</v>
      </c>
      <c r="H8" s="1178">
        <f>+G20*0.5</f>
        <v>10000000</v>
      </c>
      <c r="I8" s="1078"/>
    </row>
    <row r="9" spans="1:9">
      <c r="A9" s="821" t="str">
        <f>+'Bce 8 Columnas'!B43</f>
        <v>1-2-01-003 Empresa Relacionada CasaIdeas</v>
      </c>
      <c r="B9" s="1176"/>
      <c r="C9" s="1177">
        <v>10</v>
      </c>
      <c r="D9" s="1177">
        <v>4</v>
      </c>
      <c r="E9" s="1177">
        <v>15</v>
      </c>
      <c r="F9" s="843">
        <v>5000000</v>
      </c>
      <c r="G9" s="1178">
        <f>+'Bce 8 Columnas'!C43</f>
        <v>13500000</v>
      </c>
      <c r="H9" s="1178">
        <f>+C26*E9%</f>
        <v>1500000</v>
      </c>
      <c r="I9" s="1078"/>
    </row>
    <row r="10" spans="1:9">
      <c r="A10" s="821" t="str">
        <f>+'Bce 8 Columnas'!B44</f>
        <v>1-2-01-004 Empresa Relacionada Falabella</v>
      </c>
      <c r="B10" s="1176"/>
      <c r="C10" s="1177">
        <v>15</v>
      </c>
      <c r="D10" s="1177">
        <v>5</v>
      </c>
      <c r="E10" s="1177">
        <v>60</v>
      </c>
      <c r="F10" s="843">
        <v>150000000</v>
      </c>
      <c r="G10" s="1178">
        <f>+'Bce 8 Columnas'!C44</f>
        <v>300000000</v>
      </c>
      <c r="H10" s="1178">
        <f>+G26*E10%</f>
        <v>36000000</v>
      </c>
      <c r="I10" s="1078"/>
    </row>
    <row r="11" spans="1:9">
      <c r="A11" s="821" t="str">
        <f>+'Bce 8 Columnas'!B45</f>
        <v>1-2-01-005 Empresa Relacionada Paris</v>
      </c>
      <c r="B11" s="1176"/>
      <c r="C11" s="938">
        <v>10</v>
      </c>
      <c r="D11" s="938">
        <v>1</v>
      </c>
      <c r="E11" s="938">
        <v>35</v>
      </c>
      <c r="F11" s="939">
        <v>4000000</v>
      </c>
      <c r="G11" s="1178">
        <f>+'Bce 8 Columnas'!C45</f>
        <v>117250000</v>
      </c>
      <c r="H11" s="1178">
        <f>+C32*E11%</f>
        <v>5250000</v>
      </c>
      <c r="I11" s="1078"/>
    </row>
    <row r="12" spans="1:9">
      <c r="A12" s="821" t="str">
        <f>+'Bce 8 Columnas'!B46</f>
        <v>1-2-01-006 Empresa Relacionada Lun</v>
      </c>
      <c r="B12" s="1176"/>
      <c r="C12" s="938">
        <v>10</v>
      </c>
      <c r="D12" s="938">
        <v>6</v>
      </c>
      <c r="E12" s="1114">
        <v>5</v>
      </c>
      <c r="F12" s="939">
        <v>5000000</v>
      </c>
      <c r="G12" s="1178">
        <f>+'Bce 8 Columnas'!C46</f>
        <v>31500000</v>
      </c>
      <c r="H12" s="1178">
        <f>+G32*E12%</f>
        <v>3500000</v>
      </c>
      <c r="I12" s="1078"/>
    </row>
    <row r="13" spans="1:9">
      <c r="A13" s="821" t="str">
        <f>+'Bce 8 Columnas'!B47</f>
        <v>1-2-01-007 Empresa Relacionada Roma</v>
      </c>
      <c r="B13" s="1176"/>
      <c r="C13" s="938">
        <v>5</v>
      </c>
      <c r="D13" s="938">
        <v>1</v>
      </c>
      <c r="E13" s="938">
        <v>30</v>
      </c>
      <c r="F13" s="939">
        <v>15000000</v>
      </c>
      <c r="G13" s="1178">
        <f>+'Bce 8 Columnas'!C47</f>
        <v>78000000</v>
      </c>
      <c r="H13" s="1178">
        <f>+C38*E13%</f>
        <v>42000000</v>
      </c>
      <c r="I13" s="1078"/>
    </row>
    <row r="14" spans="1:9">
      <c r="B14" s="2277" t="s">
        <v>801</v>
      </c>
      <c r="C14" s="2278"/>
      <c r="D14" s="2278"/>
      <c r="E14" s="2278"/>
      <c r="F14" s="2278"/>
      <c r="G14" s="940">
        <f>SUM(G7:G13)</f>
        <v>920250000</v>
      </c>
      <c r="H14" s="940">
        <f>SUM(H7:H13)</f>
        <v>143250000</v>
      </c>
    </row>
    <row r="16" spans="1:9" s="735" customFormat="1" ht="13.5">
      <c r="B16" s="941" t="s">
        <v>1450</v>
      </c>
      <c r="C16" s="942"/>
      <c r="D16" s="942"/>
      <c r="F16" s="941" t="s">
        <v>1207</v>
      </c>
      <c r="G16" s="942"/>
    </row>
    <row r="17" spans="2:7" s="735" customFormat="1" ht="13.5">
      <c r="B17" s="941" t="s">
        <v>39</v>
      </c>
      <c r="C17" s="932">
        <f>+C18+C19+C20</f>
        <v>650000000</v>
      </c>
      <c r="D17" s="942"/>
      <c r="F17" s="941" t="s">
        <v>39</v>
      </c>
      <c r="G17" s="932">
        <f>+G18+G19+G20</f>
        <v>370000000</v>
      </c>
    </row>
    <row r="18" spans="2:7" s="735" customFormat="1" ht="13.5">
      <c r="B18" s="738" t="s">
        <v>1106</v>
      </c>
      <c r="C18" s="933">
        <v>400000000</v>
      </c>
      <c r="D18" s="942"/>
      <c r="F18" s="738" t="s">
        <v>1106</v>
      </c>
      <c r="G18" s="933">
        <v>300000000</v>
      </c>
    </row>
    <row r="19" spans="2:7" s="735" customFormat="1" ht="13.5">
      <c r="B19" s="738" t="s">
        <v>1208</v>
      </c>
      <c r="C19" s="933">
        <v>100000000</v>
      </c>
      <c r="D19" s="942"/>
      <c r="F19" s="738" t="s">
        <v>1208</v>
      </c>
      <c r="G19" s="933">
        <v>50000000</v>
      </c>
    </row>
    <row r="20" spans="2:7" s="735" customFormat="1" ht="13.5">
      <c r="B20" s="738" t="s">
        <v>1209</v>
      </c>
      <c r="C20" s="933">
        <v>150000000</v>
      </c>
      <c r="D20" s="942"/>
      <c r="F20" s="738" t="s">
        <v>1209</v>
      </c>
      <c r="G20" s="933">
        <v>20000000</v>
      </c>
    </row>
    <row r="21" spans="2:7" s="735" customFormat="1" ht="13.5">
      <c r="B21" s="738"/>
      <c r="C21" s="943"/>
      <c r="D21" s="942"/>
      <c r="F21" s="738"/>
      <c r="G21" s="943"/>
    </row>
    <row r="22" spans="2:7" s="735" customFormat="1" ht="13.5">
      <c r="B22" s="941" t="s">
        <v>1452</v>
      </c>
      <c r="C22" s="944"/>
      <c r="D22" s="942"/>
      <c r="F22" s="941" t="s">
        <v>1451</v>
      </c>
      <c r="G22" s="944"/>
    </row>
    <row r="23" spans="2:7" s="735" customFormat="1" ht="13.5">
      <c r="B23" s="941" t="s">
        <v>39</v>
      </c>
      <c r="C23" s="932">
        <f>+C24+C25+C26</f>
        <v>90000000</v>
      </c>
      <c r="D23" s="942"/>
      <c r="F23" s="941" t="s">
        <v>39</v>
      </c>
      <c r="G23" s="932">
        <f>+G24+G25+G26</f>
        <v>500000000</v>
      </c>
    </row>
    <row r="24" spans="2:7" s="735" customFormat="1" ht="13.5">
      <c r="B24" s="738" t="s">
        <v>1106</v>
      </c>
      <c r="C24" s="933">
        <v>30000000</v>
      </c>
      <c r="D24" s="942"/>
      <c r="F24" s="738" t="s">
        <v>1106</v>
      </c>
      <c r="G24" s="933">
        <v>320000000</v>
      </c>
    </row>
    <row r="25" spans="2:7" s="735" customFormat="1" ht="13.5">
      <c r="B25" s="738" t="s">
        <v>1208</v>
      </c>
      <c r="C25" s="933">
        <v>50000000</v>
      </c>
      <c r="D25" s="942"/>
      <c r="F25" s="738" t="s">
        <v>1208</v>
      </c>
      <c r="G25" s="933">
        <v>120000000</v>
      </c>
    </row>
    <row r="26" spans="2:7" s="735" customFormat="1" ht="13.5">
      <c r="B26" s="738" t="s">
        <v>1209</v>
      </c>
      <c r="C26" s="933">
        <v>10000000</v>
      </c>
      <c r="D26" s="942"/>
      <c r="F26" s="738" t="s">
        <v>1209</v>
      </c>
      <c r="G26" s="933">
        <v>60000000</v>
      </c>
    </row>
    <row r="27" spans="2:7" s="735" customFormat="1" ht="13.5">
      <c r="B27" s="738"/>
      <c r="C27" s="943"/>
      <c r="D27" s="942"/>
      <c r="F27" s="738"/>
      <c r="G27" s="943"/>
    </row>
    <row r="28" spans="2:7" s="735" customFormat="1" ht="13.5">
      <c r="B28" s="941" t="s">
        <v>1453</v>
      </c>
      <c r="C28" s="944"/>
      <c r="D28" s="942"/>
      <c r="F28" s="941" t="s">
        <v>1454</v>
      </c>
      <c r="G28" s="944"/>
    </row>
    <row r="29" spans="2:7" s="735" customFormat="1" ht="13.5">
      <c r="B29" s="941" t="s">
        <v>39</v>
      </c>
      <c r="C29" s="932">
        <f>+C30+C31+C32</f>
        <v>335000000</v>
      </c>
      <c r="D29" s="942"/>
      <c r="F29" s="941" t="s">
        <v>39</v>
      </c>
      <c r="G29" s="932">
        <f>+G30+G31+G32</f>
        <v>630000000</v>
      </c>
    </row>
    <row r="30" spans="2:7" s="735" customFormat="1" ht="13.5">
      <c r="B30" s="738" t="s">
        <v>1106</v>
      </c>
      <c r="C30" s="933">
        <v>250000000</v>
      </c>
      <c r="D30" s="942"/>
      <c r="F30" s="738" t="s">
        <v>1106</v>
      </c>
      <c r="G30" s="933">
        <v>350000000</v>
      </c>
    </row>
    <row r="31" spans="2:7" s="735" customFormat="1" ht="13.5">
      <c r="B31" s="738" t="s">
        <v>1208</v>
      </c>
      <c r="C31" s="933">
        <v>70000000</v>
      </c>
      <c r="D31" s="942"/>
      <c r="F31" s="738" t="s">
        <v>1208</v>
      </c>
      <c r="G31" s="933">
        <v>210000000</v>
      </c>
    </row>
    <row r="32" spans="2:7" s="735" customFormat="1" ht="13.5">
      <c r="B32" s="738" t="s">
        <v>1209</v>
      </c>
      <c r="C32" s="933">
        <v>15000000</v>
      </c>
      <c r="D32" s="942"/>
      <c r="F32" s="738" t="s">
        <v>1209</v>
      </c>
      <c r="G32" s="933">
        <v>70000000</v>
      </c>
    </row>
    <row r="33" spans="1:7" s="735" customFormat="1" ht="13.5">
      <c r="B33" s="738"/>
      <c r="C33" s="943"/>
      <c r="D33" s="942"/>
      <c r="F33" s="738"/>
      <c r="G33" s="738"/>
    </row>
    <row r="34" spans="1:7" s="735" customFormat="1" ht="13.5">
      <c r="B34" s="941" t="s">
        <v>1455</v>
      </c>
      <c r="C34" s="944"/>
      <c r="D34" s="942"/>
      <c r="F34" s="942"/>
      <c r="G34" s="942"/>
    </row>
    <row r="35" spans="1:7" s="735" customFormat="1" ht="13.5">
      <c r="B35" s="941" t="s">
        <v>39</v>
      </c>
      <c r="C35" s="932">
        <f>+C36+C37+C38</f>
        <v>260000000</v>
      </c>
      <c r="D35" s="942"/>
      <c r="F35" s="941"/>
      <c r="G35" s="941"/>
    </row>
    <row r="36" spans="1:7" s="735" customFormat="1" ht="13.5">
      <c r="B36" s="738" t="s">
        <v>1106</v>
      </c>
      <c r="C36" s="933">
        <v>50000000</v>
      </c>
      <c r="D36" s="942"/>
      <c r="F36" s="738"/>
      <c r="G36" s="738"/>
    </row>
    <row r="37" spans="1:7" s="735" customFormat="1" ht="13.5">
      <c r="B37" s="738" t="s">
        <v>1208</v>
      </c>
      <c r="C37" s="933">
        <v>70000000</v>
      </c>
      <c r="D37" s="942"/>
      <c r="F37" s="738"/>
      <c r="G37" s="738"/>
    </row>
    <row r="38" spans="1:7" s="735" customFormat="1" ht="13.5">
      <c r="B38" s="945" t="s">
        <v>1209</v>
      </c>
      <c r="C38" s="946">
        <v>140000000</v>
      </c>
      <c r="D38" s="768"/>
      <c r="F38" s="945"/>
      <c r="G38" s="945"/>
    </row>
    <row r="39" spans="1:7" s="735" customFormat="1" ht="13.5"/>
    <row r="40" spans="1:7" ht="16.899999999999999" thickBot="1"/>
    <row r="41" spans="1:7" ht="16.899999999999999" thickBot="1">
      <c r="B41" s="947" t="s">
        <v>1052</v>
      </c>
      <c r="C41" s="948" t="s">
        <v>1473</v>
      </c>
      <c r="D41" s="725"/>
      <c r="E41" s="725"/>
      <c r="F41" s="834" t="s">
        <v>1472</v>
      </c>
      <c r="G41" s="835" t="s">
        <v>935</v>
      </c>
    </row>
    <row r="42" spans="1:7" ht="16.899999999999999" thickBot="1">
      <c r="A42" s="2274" t="str">
        <f>+A7</f>
        <v>1-2-01-001 Empresa Relacionada FC</v>
      </c>
      <c r="B42" s="2275"/>
      <c r="C42" s="949"/>
      <c r="F42" s="727"/>
      <c r="G42" s="728"/>
    </row>
    <row r="43" spans="1:7" ht="16.899999999999999" thickBot="1">
      <c r="A43" s="2274" t="str">
        <f t="shared" ref="A43:A48" si="0">+A8</f>
        <v>1-2-01-002 Empresa Relacionada B&amp;N</v>
      </c>
      <c r="B43" s="2275"/>
      <c r="C43" s="949"/>
      <c r="F43" s="727"/>
      <c r="G43" s="728"/>
    </row>
    <row r="44" spans="1:7" ht="16.899999999999999" thickBot="1">
      <c r="A44" s="2274" t="str">
        <f t="shared" si="0"/>
        <v>1-2-01-003 Empresa Relacionada CasaIdeas</v>
      </c>
      <c r="B44" s="2275"/>
      <c r="C44" s="949"/>
      <c r="F44" s="727"/>
      <c r="G44" s="728"/>
    </row>
    <row r="45" spans="1:7" ht="16.899999999999999" thickBot="1">
      <c r="A45" s="2274" t="str">
        <f t="shared" si="0"/>
        <v>1-2-01-004 Empresa Relacionada Falabella</v>
      </c>
      <c r="B45" s="2275"/>
      <c r="C45" s="949"/>
      <c r="F45" s="727"/>
      <c r="G45" s="728"/>
    </row>
    <row r="46" spans="1:7" ht="16.899999999999999" thickBot="1">
      <c r="A46" s="2274" t="str">
        <f t="shared" si="0"/>
        <v>1-2-01-005 Empresa Relacionada Paris</v>
      </c>
      <c r="B46" s="2275"/>
      <c r="C46" s="949"/>
      <c r="F46" s="727"/>
      <c r="G46" s="728"/>
    </row>
    <row r="47" spans="1:7" ht="16.899999999999999" thickBot="1">
      <c r="A47" s="2274" t="str">
        <f t="shared" si="0"/>
        <v>1-2-01-006 Empresa Relacionada Lun</v>
      </c>
      <c r="B47" s="2275"/>
      <c r="C47" s="949"/>
      <c r="F47" s="727"/>
      <c r="G47" s="728"/>
    </row>
    <row r="48" spans="1:7" ht="16.899999999999999" thickBot="1">
      <c r="A48" s="2279" t="str">
        <f t="shared" si="0"/>
        <v>1-2-01-007 Empresa Relacionada Roma</v>
      </c>
      <c r="B48" s="2280"/>
      <c r="C48" s="949"/>
      <c r="F48" s="727"/>
      <c r="G48" s="728"/>
    </row>
    <row r="49" spans="1:7" ht="16.899999999999999" thickBot="1">
      <c r="B49" s="950" t="str">
        <f>+B14</f>
        <v>Totales</v>
      </c>
      <c r="C49" s="951">
        <f>SUM(C42:C48)</f>
        <v>0</v>
      </c>
      <c r="F49" s="803"/>
      <c r="G49" s="804"/>
    </row>
    <row r="51" spans="1:7" ht="16.899999999999999" thickBot="1"/>
    <row r="52" spans="1:7" ht="16.899999999999999" thickBot="1">
      <c r="A52" s="1425" t="s">
        <v>1055</v>
      </c>
      <c r="B52" s="2177" t="s">
        <v>1052</v>
      </c>
      <c r="C52" s="2112"/>
      <c r="D52" s="2113"/>
      <c r="F52" s="1426" t="s">
        <v>1056</v>
      </c>
      <c r="G52" s="1426" t="s">
        <v>1057</v>
      </c>
    </row>
    <row r="53" spans="1:7">
      <c r="A53" s="723" t="s">
        <v>1318</v>
      </c>
      <c r="B53" s="1055" t="s">
        <v>1058</v>
      </c>
      <c r="C53" s="852"/>
      <c r="D53" s="853" t="s">
        <v>1058</v>
      </c>
      <c r="F53" s="847"/>
      <c r="G53" s="847"/>
    </row>
    <row r="54" spans="1:7">
      <c r="A54" s="723"/>
      <c r="B54" s="724"/>
      <c r="C54" s="852"/>
      <c r="D54" s="853"/>
      <c r="F54" s="847"/>
      <c r="G54" s="847"/>
    </row>
    <row r="55" spans="1:7">
      <c r="A55" s="723"/>
      <c r="B55" s="724"/>
      <c r="C55" s="852"/>
      <c r="D55" s="853"/>
      <c r="F55" s="847"/>
      <c r="G55" s="847"/>
    </row>
    <row r="56" spans="1:7">
      <c r="A56" s="723"/>
      <c r="B56" s="729"/>
      <c r="D56" s="730"/>
      <c r="F56" s="847"/>
      <c r="G56" s="847"/>
    </row>
    <row r="57" spans="1:7">
      <c r="A57" s="723"/>
      <c r="B57" s="729" t="s">
        <v>1059</v>
      </c>
      <c r="D57" s="730"/>
      <c r="F57" s="847"/>
      <c r="G57" s="847"/>
    </row>
    <row r="58" spans="1:7" ht="16.899999999999999" thickBot="1">
      <c r="A58" s="731"/>
      <c r="B58" s="732"/>
      <c r="C58" s="733"/>
      <c r="D58" s="734"/>
      <c r="F58" s="848"/>
      <c r="G58" s="848"/>
    </row>
  </sheetData>
  <mergeCells count="11">
    <mergeCell ref="A45:B45"/>
    <mergeCell ref="A46:B46"/>
    <mergeCell ref="A47:B47"/>
    <mergeCell ref="A48:B48"/>
    <mergeCell ref="B52:D52"/>
    <mergeCell ref="A44:B44"/>
    <mergeCell ref="B2:F2"/>
    <mergeCell ref="B4:D4"/>
    <mergeCell ref="B14:F14"/>
    <mergeCell ref="A42:B42"/>
    <mergeCell ref="A43:B4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9AF3-A580-45C4-B649-834938E3195E}">
  <dimension ref="B1:N34"/>
  <sheetViews>
    <sheetView workbookViewId="0">
      <selection activeCell="D18" sqref="D18"/>
    </sheetView>
  </sheetViews>
  <sheetFormatPr baseColWidth="10" defaultColWidth="11.53125" defaultRowHeight="17.25"/>
  <cols>
    <col min="1" max="1" width="5" style="991" customWidth="1"/>
    <col min="2" max="2" width="18.19921875" style="991" bestFit="1" customWidth="1"/>
    <col min="3" max="3" width="19.86328125" style="991" customWidth="1"/>
    <col min="4" max="4" width="14.796875" style="991" customWidth="1"/>
    <col min="5" max="5" width="24" style="991" bestFit="1" customWidth="1"/>
    <col min="6" max="16384" width="11.53125" style="991"/>
  </cols>
  <sheetData>
    <row r="1" spans="2:6">
      <c r="B1" s="1529" t="s">
        <v>1394</v>
      </c>
    </row>
    <row r="3" spans="2:6">
      <c r="B3" s="1837" t="s">
        <v>1052</v>
      </c>
      <c r="C3" s="1838" t="s">
        <v>1395</v>
      </c>
      <c r="D3" s="1839" t="s">
        <v>1187</v>
      </c>
      <c r="E3" s="1839" t="s">
        <v>1408</v>
      </c>
      <c r="F3" s="1000"/>
    </row>
    <row r="4" spans="2:6">
      <c r="B4" s="1530" t="s">
        <v>1396</v>
      </c>
      <c r="C4" s="1532">
        <v>10000000</v>
      </c>
      <c r="D4" s="1536">
        <f>+N24/100+1</f>
        <v>1.04</v>
      </c>
      <c r="E4" s="997">
        <f>ROUND(+C4*D4,0)</f>
        <v>10400000</v>
      </c>
    </row>
    <row r="5" spans="2:6">
      <c r="B5" s="1530" t="s">
        <v>1397</v>
      </c>
      <c r="C5" s="1532">
        <v>15000000</v>
      </c>
      <c r="D5" s="1536">
        <f t="shared" ref="D5:D15" si="0">+N25/100+1</f>
        <v>1.034</v>
      </c>
      <c r="E5" s="997">
        <f t="shared" ref="E5:E15" si="1">ROUND(+C5*D5,0)</f>
        <v>15510000</v>
      </c>
    </row>
    <row r="6" spans="2:6">
      <c r="B6" s="1530" t="s">
        <v>1398</v>
      </c>
      <c r="C6" s="1532">
        <v>5000000</v>
      </c>
      <c r="D6" s="1536">
        <f t="shared" si="0"/>
        <v>1.03</v>
      </c>
      <c r="E6" s="997">
        <f t="shared" si="1"/>
        <v>5150000</v>
      </c>
    </row>
    <row r="7" spans="2:6">
      <c r="B7" s="1530" t="s">
        <v>1399</v>
      </c>
      <c r="C7" s="1532">
        <v>25000000</v>
      </c>
      <c r="D7" s="1536">
        <f t="shared" si="0"/>
        <v>1.0249999999999999</v>
      </c>
      <c r="E7" s="997">
        <f t="shared" si="1"/>
        <v>25625000</v>
      </c>
    </row>
    <row r="8" spans="2:6">
      <c r="B8" s="1530" t="s">
        <v>1400</v>
      </c>
      <c r="C8" s="1532">
        <v>13000000</v>
      </c>
      <c r="D8" s="1536">
        <f t="shared" si="0"/>
        <v>1.022</v>
      </c>
      <c r="E8" s="997">
        <f t="shared" si="1"/>
        <v>13286000</v>
      </c>
    </row>
    <row r="9" spans="2:6">
      <c r="B9" s="1530" t="s">
        <v>1401</v>
      </c>
      <c r="C9" s="1532">
        <v>12000000</v>
      </c>
      <c r="D9" s="1536">
        <f t="shared" si="0"/>
        <v>1.0229999999999999</v>
      </c>
      <c r="E9" s="997">
        <f t="shared" si="1"/>
        <v>12276000</v>
      </c>
    </row>
    <row r="10" spans="2:6">
      <c r="B10" s="1530" t="s">
        <v>1402</v>
      </c>
      <c r="C10" s="1532">
        <v>5000000</v>
      </c>
      <c r="D10" s="1536">
        <f t="shared" si="0"/>
        <v>1.016</v>
      </c>
      <c r="E10" s="997">
        <f t="shared" si="1"/>
        <v>5080000</v>
      </c>
    </row>
    <row r="11" spans="2:6">
      <c r="B11" s="1530" t="s">
        <v>1403</v>
      </c>
      <c r="C11" s="1532">
        <v>8000000</v>
      </c>
      <c r="D11" s="1536">
        <f t="shared" si="0"/>
        <v>1.0129999999999999</v>
      </c>
      <c r="E11" s="997">
        <f t="shared" si="1"/>
        <v>8104000</v>
      </c>
    </row>
    <row r="12" spans="2:6">
      <c r="B12" s="1530" t="s">
        <v>1404</v>
      </c>
      <c r="C12" s="1532">
        <v>12000000</v>
      </c>
      <c r="D12" s="1536">
        <f t="shared" si="0"/>
        <v>1.012</v>
      </c>
      <c r="E12" s="997">
        <f t="shared" si="1"/>
        <v>12144000</v>
      </c>
    </row>
    <row r="13" spans="2:6">
      <c r="B13" s="1530" t="s">
        <v>1405</v>
      </c>
      <c r="C13" s="1532">
        <v>18000000</v>
      </c>
      <c r="D13" s="1536">
        <f t="shared" si="0"/>
        <v>1.0029999999999999</v>
      </c>
      <c r="E13" s="997">
        <f t="shared" si="1"/>
        <v>18054000</v>
      </c>
    </row>
    <row r="14" spans="2:6">
      <c r="B14" s="1530" t="s">
        <v>1406</v>
      </c>
      <c r="C14" s="1532">
        <v>4000000</v>
      </c>
      <c r="D14" s="1536">
        <f t="shared" si="0"/>
        <v>1</v>
      </c>
      <c r="E14" s="997">
        <f t="shared" si="1"/>
        <v>4000000</v>
      </c>
    </row>
    <row r="15" spans="2:6" ht="17.649999999999999" thickBot="1">
      <c r="B15" s="1530" t="s">
        <v>1407</v>
      </c>
      <c r="C15" s="1532">
        <v>5000000</v>
      </c>
      <c r="D15" s="1536">
        <f t="shared" si="0"/>
        <v>1</v>
      </c>
      <c r="E15" s="1538">
        <f t="shared" si="1"/>
        <v>5000000</v>
      </c>
    </row>
    <row r="16" spans="2:6" ht="17.649999999999999" thickBot="1">
      <c r="B16" s="1531" t="s">
        <v>801</v>
      </c>
      <c r="C16" s="1007">
        <f>SUM(C4:C15)</f>
        <v>132000000</v>
      </c>
      <c r="E16" s="1537">
        <f>SUM(E4:E15)</f>
        <v>134629000</v>
      </c>
    </row>
    <row r="17" spans="2:14" ht="17.649999999999999" thickBot="1"/>
    <row r="18" spans="2:14" ht="17.649999999999999" thickBot="1">
      <c r="C18" s="993" t="s">
        <v>1187</v>
      </c>
      <c r="D18" s="1836">
        <f>+E16-C16</f>
        <v>2629000</v>
      </c>
    </row>
    <row r="19" spans="2:14" ht="17.649999999999999" thickBot="1"/>
    <row r="20" spans="2:14">
      <c r="B20" s="1533"/>
      <c r="C20" s="1534"/>
      <c r="D20" s="1534"/>
      <c r="E20" s="1534"/>
      <c r="F20" s="1534"/>
      <c r="G20" s="1534"/>
      <c r="H20" s="1534"/>
      <c r="I20" s="1534"/>
      <c r="J20" s="1534"/>
      <c r="K20" s="1534"/>
      <c r="L20" s="1534"/>
      <c r="M20" s="1534"/>
      <c r="N20" s="1535"/>
    </row>
    <row r="21" spans="2:14">
      <c r="B21" s="1833"/>
      <c r="C21" s="1833" t="s">
        <v>1409</v>
      </c>
      <c r="D21" s="1833" t="s">
        <v>1410</v>
      </c>
      <c r="E21" s="1833" t="s">
        <v>1411</v>
      </c>
      <c r="F21" s="1833" t="s">
        <v>1412</v>
      </c>
      <c r="G21" s="1833" t="s">
        <v>1370</v>
      </c>
      <c r="H21" s="1833" t="s">
        <v>1372</v>
      </c>
      <c r="I21" s="1833" t="s">
        <v>1374</v>
      </c>
      <c r="J21" s="1833" t="s">
        <v>1376</v>
      </c>
      <c r="K21" s="1833" t="s">
        <v>1413</v>
      </c>
      <c r="L21" s="1833" t="s">
        <v>1381</v>
      </c>
      <c r="M21" s="1833" t="s">
        <v>1382</v>
      </c>
      <c r="N21" s="1833" t="s">
        <v>1383</v>
      </c>
    </row>
    <row r="22" spans="2:14">
      <c r="B22" s="1834" t="s">
        <v>1414</v>
      </c>
      <c r="C22" s="1835">
        <v>-0.5</v>
      </c>
      <c r="D22" s="1835">
        <v>0.1</v>
      </c>
      <c r="E22" s="1835">
        <v>0.7</v>
      </c>
      <c r="F22" s="1835">
        <v>1.1000000000000001</v>
      </c>
      <c r="G22" s="1835">
        <v>1.6</v>
      </c>
      <c r="H22" s="1835">
        <v>1.9</v>
      </c>
      <c r="I22" s="1835">
        <v>1.8</v>
      </c>
      <c r="J22" s="1835">
        <v>2.6</v>
      </c>
      <c r="K22" s="1835">
        <v>2.8</v>
      </c>
      <c r="L22" s="1835">
        <v>2.9</v>
      </c>
      <c r="M22" s="1835">
        <v>3.9</v>
      </c>
      <c r="N22" s="1835">
        <v>4.2</v>
      </c>
    </row>
    <row r="23" spans="2:14">
      <c r="B23" s="1834" t="s">
        <v>1140</v>
      </c>
      <c r="C23" s="1835"/>
      <c r="D23" s="1835">
        <v>0.7</v>
      </c>
      <c r="E23" s="1835">
        <v>1.3</v>
      </c>
      <c r="F23" s="1835">
        <v>1.6</v>
      </c>
      <c r="G23" s="1835">
        <v>2.2000000000000002</v>
      </c>
      <c r="H23" s="1835">
        <v>2.5</v>
      </c>
      <c r="I23" s="1835">
        <v>2.4</v>
      </c>
      <c r="J23" s="1835">
        <v>3.1</v>
      </c>
      <c r="K23" s="1835">
        <v>3.4</v>
      </c>
      <c r="L23" s="1835">
        <v>3.5</v>
      </c>
      <c r="M23" s="1835">
        <v>4.5</v>
      </c>
      <c r="N23" s="1835">
        <v>4.7</v>
      </c>
    </row>
    <row r="24" spans="2:14">
      <c r="B24" s="1834" t="s">
        <v>1141</v>
      </c>
      <c r="C24" s="1835"/>
      <c r="D24" s="1835"/>
      <c r="E24" s="1835">
        <v>0.6</v>
      </c>
      <c r="F24" s="1835">
        <v>1</v>
      </c>
      <c r="G24" s="1835">
        <v>1.5</v>
      </c>
      <c r="H24" s="1835">
        <v>1.8</v>
      </c>
      <c r="I24" s="1835">
        <v>1.7</v>
      </c>
      <c r="J24" s="1835">
        <v>2.4</v>
      </c>
      <c r="K24" s="1835">
        <v>2.7</v>
      </c>
      <c r="L24" s="1835">
        <v>2.8</v>
      </c>
      <c r="M24" s="1835">
        <v>3.8</v>
      </c>
      <c r="N24" s="1835">
        <v>4</v>
      </c>
    </row>
    <row r="25" spans="2:14">
      <c r="B25" s="1834" t="s">
        <v>1142</v>
      </c>
      <c r="C25" s="1835"/>
      <c r="D25" s="1835"/>
      <c r="E25" s="1835"/>
      <c r="F25" s="1835">
        <v>0.4</v>
      </c>
      <c r="G25" s="1835">
        <v>0.9</v>
      </c>
      <c r="H25" s="1835">
        <v>1.2</v>
      </c>
      <c r="I25" s="1835">
        <v>1.1000000000000001</v>
      </c>
      <c r="J25" s="1835">
        <v>1.8</v>
      </c>
      <c r="K25" s="1835">
        <v>2.1</v>
      </c>
      <c r="L25" s="1835">
        <v>2.2000000000000002</v>
      </c>
      <c r="M25" s="1835">
        <v>3.2</v>
      </c>
      <c r="N25" s="1835">
        <v>3.4</v>
      </c>
    </row>
    <row r="26" spans="2:14">
      <c r="B26" s="1834" t="s">
        <v>1143</v>
      </c>
      <c r="C26" s="1835"/>
      <c r="D26" s="1835"/>
      <c r="E26" s="1835"/>
      <c r="F26" s="1835"/>
      <c r="G26" s="1835">
        <v>0.5</v>
      </c>
      <c r="H26" s="1835">
        <v>0.8</v>
      </c>
      <c r="I26" s="1835">
        <v>0.7</v>
      </c>
      <c r="J26" s="1835">
        <v>1.5</v>
      </c>
      <c r="K26" s="1835">
        <v>1.7</v>
      </c>
      <c r="L26" s="1835">
        <v>1.8</v>
      </c>
      <c r="M26" s="1835">
        <v>2.8</v>
      </c>
      <c r="N26" s="1835">
        <v>3</v>
      </c>
    </row>
    <row r="27" spans="2:14">
      <c r="B27" s="1834" t="s">
        <v>1415</v>
      </c>
      <c r="C27" s="1835"/>
      <c r="D27" s="1835"/>
      <c r="E27" s="1835"/>
      <c r="F27" s="1835"/>
      <c r="G27" s="1835"/>
      <c r="H27" s="1835">
        <v>0.3</v>
      </c>
      <c r="I27" s="1835">
        <v>0.2</v>
      </c>
      <c r="J27" s="1835">
        <v>0.9</v>
      </c>
      <c r="K27" s="1835">
        <v>1.2</v>
      </c>
      <c r="L27" s="1835">
        <v>1.3</v>
      </c>
      <c r="M27" s="1835">
        <v>2.2000000000000002</v>
      </c>
      <c r="N27" s="1835">
        <v>2.5</v>
      </c>
    </row>
    <row r="28" spans="2:14">
      <c r="B28" s="1834" t="s">
        <v>1416</v>
      </c>
      <c r="C28" s="1835"/>
      <c r="D28" s="1835"/>
      <c r="E28" s="1835"/>
      <c r="F28" s="1835"/>
      <c r="G28" s="1835"/>
      <c r="H28" s="1835"/>
      <c r="I28" s="1835">
        <v>-0.1</v>
      </c>
      <c r="J28" s="1835">
        <v>0.6</v>
      </c>
      <c r="K28" s="1835">
        <v>0.9</v>
      </c>
      <c r="L28" s="1835">
        <v>1</v>
      </c>
      <c r="M28" s="1835">
        <v>2</v>
      </c>
      <c r="N28" s="1835">
        <v>2.2000000000000002</v>
      </c>
    </row>
    <row r="29" spans="2:14">
      <c r="B29" s="1834" t="s">
        <v>1417</v>
      </c>
      <c r="C29" s="1835"/>
      <c r="D29" s="1835"/>
      <c r="E29" s="1835"/>
      <c r="F29" s="1835"/>
      <c r="G29" s="1835"/>
      <c r="H29" s="1835"/>
      <c r="I29" s="1835"/>
      <c r="J29" s="1835">
        <v>0.7</v>
      </c>
      <c r="K29" s="1835">
        <v>1</v>
      </c>
      <c r="L29" s="1835">
        <v>1.1000000000000001</v>
      </c>
      <c r="M29" s="1835">
        <v>2.1</v>
      </c>
      <c r="N29" s="1835">
        <v>2.2999999999999998</v>
      </c>
    </row>
    <row r="30" spans="2:14">
      <c r="B30" s="1834" t="s">
        <v>1047</v>
      </c>
      <c r="C30" s="1835"/>
      <c r="D30" s="1835"/>
      <c r="E30" s="1835"/>
      <c r="F30" s="1835"/>
      <c r="G30" s="1835"/>
      <c r="H30" s="1835"/>
      <c r="I30" s="1835"/>
      <c r="J30" s="1835"/>
      <c r="K30" s="1835">
        <v>0.2</v>
      </c>
      <c r="L30" s="1835">
        <v>0.3</v>
      </c>
      <c r="M30" s="1835">
        <v>1.3</v>
      </c>
      <c r="N30" s="1835">
        <v>1.6</v>
      </c>
    </row>
    <row r="31" spans="2:14">
      <c r="B31" s="1834" t="s">
        <v>1048</v>
      </c>
      <c r="C31" s="1835"/>
      <c r="D31" s="1835"/>
      <c r="E31" s="1835"/>
      <c r="F31" s="1835"/>
      <c r="G31" s="1835"/>
      <c r="H31" s="1835"/>
      <c r="I31" s="1835"/>
      <c r="J31" s="1835"/>
      <c r="K31" s="1835"/>
      <c r="L31" s="1835">
        <v>0.1</v>
      </c>
      <c r="M31" s="1835">
        <v>1.1000000000000001</v>
      </c>
      <c r="N31" s="1835">
        <v>1.3</v>
      </c>
    </row>
    <row r="32" spans="2:14">
      <c r="B32" s="1834" t="s">
        <v>1049</v>
      </c>
      <c r="C32" s="1835"/>
      <c r="D32" s="1835"/>
      <c r="E32" s="1835"/>
      <c r="F32" s="1835"/>
      <c r="G32" s="1835"/>
      <c r="H32" s="1835"/>
      <c r="I32" s="1835"/>
      <c r="J32" s="1835"/>
      <c r="K32" s="1835"/>
      <c r="L32" s="1835"/>
      <c r="M32" s="1835">
        <v>1</v>
      </c>
      <c r="N32" s="1835">
        <v>1.2</v>
      </c>
    </row>
    <row r="33" spans="2:14">
      <c r="B33" s="1834" t="s">
        <v>1050</v>
      </c>
      <c r="C33" s="1835"/>
      <c r="D33" s="1835"/>
      <c r="E33" s="1835"/>
      <c r="F33" s="1835"/>
      <c r="G33" s="1835"/>
      <c r="H33" s="1835"/>
      <c r="I33" s="1835"/>
      <c r="J33" s="1835"/>
      <c r="K33" s="1835"/>
      <c r="L33" s="1835"/>
      <c r="M33" s="1835"/>
      <c r="N33" s="1835">
        <v>0.3</v>
      </c>
    </row>
    <row r="34" spans="2:14">
      <c r="B34" s="1834" t="s">
        <v>1051</v>
      </c>
      <c r="C34" s="1835"/>
      <c r="D34" s="1835"/>
      <c r="E34" s="1835"/>
      <c r="F34" s="1835"/>
      <c r="G34" s="1835"/>
      <c r="H34" s="1835"/>
      <c r="I34" s="1835"/>
      <c r="J34" s="1835"/>
      <c r="K34" s="1835"/>
      <c r="L34" s="1835"/>
      <c r="M34" s="1835"/>
      <c r="N34" s="183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6D7C-90EA-4577-B657-B4329B91207E}">
  <dimension ref="A1:F21"/>
  <sheetViews>
    <sheetView topLeftCell="A3" workbookViewId="0">
      <selection activeCell="E14" sqref="E14"/>
    </sheetView>
  </sheetViews>
  <sheetFormatPr baseColWidth="10" defaultColWidth="10.86328125" defaultRowHeight="13.5"/>
  <cols>
    <col min="1" max="1" width="12.33203125" style="735" bestFit="1" customWidth="1"/>
    <col min="2" max="2" width="30.19921875" style="735" bestFit="1" customWidth="1"/>
    <col min="3" max="5" width="16.53125" style="735" customWidth="1"/>
    <col min="6" max="6" width="17.1328125" style="735" customWidth="1"/>
    <col min="7" max="16384" width="10.86328125" style="735"/>
  </cols>
  <sheetData>
    <row r="1" spans="1:6" ht="13.9" thickBot="1"/>
    <row r="2" spans="1:6" ht="13.9" thickBot="1">
      <c r="A2" s="884"/>
      <c r="B2" s="2233" t="s">
        <v>979</v>
      </c>
      <c r="C2" s="2234"/>
      <c r="D2" s="2234"/>
      <c r="E2" s="885"/>
    </row>
    <row r="3" spans="1:6" ht="13.9" thickBot="1"/>
    <row r="4" spans="1:6">
      <c r="A4" s="2238" t="s">
        <v>1199</v>
      </c>
      <c r="B4" s="2239"/>
      <c r="C4" s="2239"/>
      <c r="D4" s="2239"/>
      <c r="E4" s="2239"/>
      <c r="F4" s="2240"/>
    </row>
    <row r="5" spans="1:6">
      <c r="A5" s="2241"/>
      <c r="B5" s="2242"/>
      <c r="C5" s="2242"/>
      <c r="D5" s="2242"/>
      <c r="E5" s="2242"/>
      <c r="F5" s="2243"/>
    </row>
    <row r="6" spans="1:6" ht="13.9" thickBot="1">
      <c r="A6" s="2244"/>
      <c r="B6" s="2245"/>
      <c r="C6" s="2245"/>
      <c r="D6" s="2245"/>
      <c r="E6" s="2245"/>
      <c r="F6" s="2246"/>
    </row>
    <row r="8" spans="1:6">
      <c r="B8" s="927" t="s">
        <v>1052</v>
      </c>
      <c r="C8" s="928" t="s">
        <v>1193</v>
      </c>
      <c r="D8" s="929"/>
    </row>
    <row r="9" spans="1:6">
      <c r="B9" s="930" t="s">
        <v>1043</v>
      </c>
      <c r="C9" s="931">
        <v>40000000</v>
      </c>
      <c r="D9" s="932"/>
    </row>
    <row r="10" spans="1:6">
      <c r="B10" s="930" t="s">
        <v>1200</v>
      </c>
      <c r="C10" s="931">
        <v>200000000</v>
      </c>
      <c r="D10" s="933"/>
    </row>
    <row r="11" spans="1:6">
      <c r="B11" s="930" t="s">
        <v>1201</v>
      </c>
      <c r="C11" s="931">
        <v>50000000</v>
      </c>
      <c r="D11" s="933"/>
    </row>
    <row r="12" spans="1:6" ht="13.9" thickBot="1"/>
    <row r="13" spans="1:6" ht="16.899999999999999" thickBot="1">
      <c r="A13" s="709"/>
      <c r="B13" s="713" t="s">
        <v>1202</v>
      </c>
      <c r="C13" s="715" t="s">
        <v>1473</v>
      </c>
      <c r="D13" s="716" t="s">
        <v>1472</v>
      </c>
      <c r="E13" s="717" t="s">
        <v>935</v>
      </c>
    </row>
    <row r="14" spans="1:6" ht="16.899999999999999" thickBot="1">
      <c r="A14" s="709"/>
      <c r="B14" s="862" t="str">
        <f>+B2</f>
        <v>1-1-13-001 Animales Vivos</v>
      </c>
      <c r="C14" s="718"/>
      <c r="D14" s="719"/>
      <c r="E14" s="720"/>
    </row>
    <row r="15" spans="1:6" ht="16.899999999999999" thickBot="1">
      <c r="A15" s="709"/>
      <c r="B15" s="709"/>
      <c r="C15" s="709"/>
      <c r="D15" s="709"/>
      <c r="E15" s="709"/>
      <c r="F15" s="709"/>
    </row>
    <row r="16" spans="1:6" ht="16.899999999999999" thickBot="1">
      <c r="A16" s="1425" t="s">
        <v>1055</v>
      </c>
      <c r="B16" s="2177" t="s">
        <v>1052</v>
      </c>
      <c r="C16" s="2112"/>
      <c r="D16" s="2113"/>
      <c r="E16" s="1426" t="s">
        <v>1056</v>
      </c>
      <c r="F16" s="1426" t="s">
        <v>1057</v>
      </c>
    </row>
    <row r="17" spans="1:6" ht="16.5">
      <c r="A17" s="723"/>
      <c r="B17" s="724" t="s">
        <v>1058</v>
      </c>
      <c r="C17" s="852"/>
      <c r="D17" s="853" t="s">
        <v>1058</v>
      </c>
      <c r="E17" s="847"/>
      <c r="F17" s="847"/>
    </row>
    <row r="18" spans="1:6" ht="16.5">
      <c r="A18" s="723"/>
      <c r="B18" s="729"/>
      <c r="C18" s="709"/>
      <c r="D18" s="730"/>
      <c r="E18" s="847"/>
      <c r="F18" s="847"/>
    </row>
    <row r="19" spans="1:6" ht="16.5">
      <c r="A19" s="723"/>
      <c r="B19" s="729"/>
      <c r="C19" s="862"/>
      <c r="D19" s="730"/>
      <c r="E19" s="847"/>
      <c r="F19" s="847"/>
    </row>
    <row r="20" spans="1:6" ht="16.5">
      <c r="A20" s="723"/>
      <c r="B20" s="729" t="s">
        <v>1314</v>
      </c>
      <c r="C20" s="709"/>
      <c r="D20" s="730"/>
      <c r="E20" s="847"/>
      <c r="F20" s="847"/>
    </row>
    <row r="21" spans="1:6" ht="16.899999999999999" thickBot="1">
      <c r="A21" s="731"/>
      <c r="B21" s="732"/>
      <c r="C21" s="733"/>
      <c r="D21" s="734"/>
      <c r="E21" s="848"/>
      <c r="F21" s="848"/>
    </row>
  </sheetData>
  <mergeCells count="3">
    <mergeCell ref="B2:D2"/>
    <mergeCell ref="A4:F6"/>
    <mergeCell ref="B16:D1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7553-FED5-4642-A26E-A2ED9ED55AAC}">
  <dimension ref="A1:M360"/>
  <sheetViews>
    <sheetView topLeftCell="F1" zoomScaleNormal="100" workbookViewId="0">
      <selection activeCell="H8" sqref="H8:L14"/>
    </sheetView>
  </sheetViews>
  <sheetFormatPr baseColWidth="10" defaultColWidth="10.86328125" defaultRowHeight="16.5"/>
  <cols>
    <col min="1" max="1" width="10.86328125" style="211"/>
    <col min="2" max="2" width="33.86328125" style="211" customWidth="1"/>
    <col min="3" max="3" width="12.1328125" style="211" bestFit="1" customWidth="1"/>
    <col min="4" max="4" width="22.86328125" style="211" customWidth="1"/>
    <col min="5" max="5" width="17" style="795" customWidth="1"/>
    <col min="6" max="6" width="18.53125" style="795" customWidth="1"/>
    <col min="7" max="7" width="10.86328125" style="709"/>
    <col min="8" max="8" width="53.796875" style="709" customWidth="1"/>
    <col min="9" max="9" width="13.19921875" style="709" bestFit="1" customWidth="1"/>
    <col min="10" max="10" width="14.86328125" style="709" bestFit="1" customWidth="1"/>
    <col min="11" max="11" width="14.19921875" style="709" bestFit="1" customWidth="1"/>
    <col min="12" max="12" width="13.19921875" style="709" customWidth="1"/>
    <col min="13" max="16384" width="10.86328125" style="709"/>
  </cols>
  <sheetData>
    <row r="1" spans="1:13">
      <c r="H1" s="2281" t="s">
        <v>1052</v>
      </c>
      <c r="I1" s="970" t="s">
        <v>1081</v>
      </c>
      <c r="J1" s="970" t="s">
        <v>1081</v>
      </c>
      <c r="K1" s="970" t="s">
        <v>479</v>
      </c>
      <c r="L1" s="970" t="s">
        <v>1258</v>
      </c>
      <c r="M1" s="970" t="s">
        <v>1082</v>
      </c>
    </row>
    <row r="2" spans="1:13" ht="17.25">
      <c r="A2" s="2282" t="s">
        <v>1259</v>
      </c>
      <c r="B2" s="2282"/>
      <c r="C2" s="2282"/>
      <c r="D2" s="2282"/>
      <c r="H2" s="2281"/>
      <c r="I2" s="970" t="s">
        <v>1083</v>
      </c>
      <c r="J2" s="970" t="s">
        <v>1084</v>
      </c>
      <c r="K2" s="971"/>
      <c r="L2" s="970" t="s">
        <v>1085</v>
      </c>
      <c r="M2" s="971"/>
    </row>
    <row r="3" spans="1:13" ht="16.899999999999999" thickBot="1">
      <c r="H3" s="2283" t="s">
        <v>925</v>
      </c>
      <c r="I3" s="2283"/>
      <c r="J3" s="2283"/>
      <c r="K3" s="2283"/>
      <c r="L3" s="2283"/>
      <c r="M3" s="2283"/>
    </row>
    <row r="4" spans="1:13" ht="16.899999999999999" thickBot="1">
      <c r="A4" s="2284" t="str">
        <f>+H3</f>
        <v>Servidumbre de Paso</v>
      </c>
      <c r="B4" s="2284"/>
      <c r="C4" s="714"/>
      <c r="D4" s="715" t="s">
        <v>1473</v>
      </c>
      <c r="E4" s="716" t="s">
        <v>1472</v>
      </c>
      <c r="F4" s="717" t="s">
        <v>935</v>
      </c>
      <c r="H4" s="972" t="s">
        <v>1260</v>
      </c>
      <c r="I4" s="973">
        <v>60</v>
      </c>
      <c r="J4" s="973">
        <v>120</v>
      </c>
      <c r="K4" s="974">
        <v>15000000</v>
      </c>
      <c r="L4" s="974">
        <v>8000000</v>
      </c>
      <c r="M4" s="974">
        <v>7000000</v>
      </c>
    </row>
    <row r="5" spans="1:13">
      <c r="A5" s="709" t="s">
        <v>988</v>
      </c>
      <c r="B5" s="709"/>
      <c r="C5" s="709"/>
      <c r="D5" s="796"/>
      <c r="E5" s="797"/>
      <c r="F5" s="798"/>
      <c r="H5" s="975"/>
      <c r="I5" s="973"/>
      <c r="J5" s="973"/>
      <c r="K5" s="976"/>
      <c r="L5" s="976"/>
      <c r="M5" s="976"/>
    </row>
    <row r="6" spans="1:13" ht="16.899999999999999" thickBot="1">
      <c r="A6" s="709"/>
      <c r="B6" s="709"/>
      <c r="C6" s="709"/>
      <c r="D6" s="718"/>
      <c r="E6" s="719"/>
      <c r="F6" s="720"/>
      <c r="H6" s="2283" t="s">
        <v>1261</v>
      </c>
      <c r="I6" s="2283"/>
      <c r="J6" s="2283"/>
      <c r="K6" s="2283"/>
      <c r="L6" s="2283"/>
      <c r="M6" s="2283"/>
    </row>
    <row r="7" spans="1:13" ht="16.899999999999999" thickBot="1">
      <c r="E7" s="800"/>
      <c r="F7" s="800"/>
      <c r="H7" s="972" t="s">
        <v>1262</v>
      </c>
      <c r="I7" s="973">
        <v>24</v>
      </c>
      <c r="J7" s="973">
        <v>120</v>
      </c>
      <c r="K7" s="974">
        <v>100000</v>
      </c>
      <c r="L7" s="974">
        <v>99999</v>
      </c>
      <c r="M7" s="977">
        <v>1</v>
      </c>
    </row>
    <row r="8" spans="1:13" ht="16.899999999999999" thickBot="1">
      <c r="A8" s="1425" t="s">
        <v>1055</v>
      </c>
      <c r="B8" s="2177" t="s">
        <v>1052</v>
      </c>
      <c r="C8" s="2112"/>
      <c r="D8" s="2113"/>
      <c r="E8" s="1426" t="s">
        <v>1056</v>
      </c>
      <c r="F8" s="1426" t="s">
        <v>1057</v>
      </c>
      <c r="H8" s="978"/>
      <c r="I8" s="211"/>
      <c r="J8" s="211"/>
      <c r="K8" s="211"/>
    </row>
    <row r="9" spans="1:13">
      <c r="A9" s="723"/>
      <c r="B9" s="724" t="s">
        <v>1058</v>
      </c>
      <c r="C9" s="725"/>
      <c r="D9" s="726" t="s">
        <v>1058</v>
      </c>
      <c r="E9" s="727"/>
      <c r="F9" s="728"/>
      <c r="H9" s="2285" t="s">
        <v>1696</v>
      </c>
      <c r="I9" s="979" t="s">
        <v>1092</v>
      </c>
      <c r="J9" s="979" t="s">
        <v>1092</v>
      </c>
      <c r="K9" s="979" t="s">
        <v>1081</v>
      </c>
    </row>
    <row r="10" spans="1:13">
      <c r="A10" s="723"/>
      <c r="B10" s="729"/>
      <c r="C10" s="709"/>
      <c r="D10" s="730"/>
      <c r="E10" s="727"/>
      <c r="F10" s="728"/>
      <c r="H10" s="2286"/>
      <c r="I10" s="980" t="s">
        <v>1263</v>
      </c>
      <c r="J10" s="980" t="s">
        <v>1094</v>
      </c>
      <c r="K10" s="980" t="s">
        <v>1264</v>
      </c>
    </row>
    <row r="11" spans="1:13">
      <c r="A11" s="723"/>
      <c r="B11" s="729"/>
      <c r="C11" s="709"/>
      <c r="D11" s="730"/>
      <c r="E11" s="727"/>
      <c r="F11" s="728"/>
      <c r="H11" s="2287" t="s">
        <v>1265</v>
      </c>
      <c r="I11" s="2287"/>
      <c r="J11" s="2287"/>
      <c r="K11" s="2287"/>
    </row>
    <row r="12" spans="1:13" ht="16.899999999999999" thickBot="1">
      <c r="A12" s="723"/>
      <c r="B12" s="729" t="s">
        <v>1059</v>
      </c>
      <c r="C12" s="709"/>
      <c r="D12" s="730"/>
      <c r="E12" s="727"/>
      <c r="F12" s="728"/>
      <c r="H12" s="981" t="s">
        <v>924</v>
      </c>
      <c r="I12" s="982">
        <v>10000000</v>
      </c>
      <c r="J12" s="983"/>
      <c r="K12" s="984">
        <v>36</v>
      </c>
    </row>
    <row r="13" spans="1:13" ht="16.899999999999999" thickBot="1">
      <c r="A13" s="731"/>
      <c r="B13" s="732"/>
      <c r="C13" s="733"/>
      <c r="D13" s="734"/>
      <c r="E13" s="719"/>
      <c r="F13" s="720"/>
      <c r="H13" s="985" t="s">
        <v>925</v>
      </c>
      <c r="I13" s="986"/>
      <c r="J13" s="987"/>
      <c r="K13" s="988"/>
    </row>
    <row r="14" spans="1:13" ht="16.899999999999999" thickBot="1">
      <c r="H14" s="981" t="s">
        <v>1260</v>
      </c>
      <c r="I14" s="982">
        <v>13000000</v>
      </c>
      <c r="J14" s="989"/>
      <c r="K14" s="984" t="s">
        <v>1266</v>
      </c>
    </row>
    <row r="15" spans="1:13" ht="17.25">
      <c r="A15" s="2282" t="s">
        <v>1259</v>
      </c>
      <c r="B15" s="2282"/>
      <c r="C15" s="2282"/>
      <c r="D15" s="2282"/>
      <c r="H15" s="985" t="s">
        <v>1261</v>
      </c>
      <c r="I15" s="987"/>
      <c r="J15" s="987"/>
      <c r="K15" s="988"/>
    </row>
    <row r="16" spans="1:13" ht="16.899999999999999" thickBot="1">
      <c r="H16" s="981" t="s">
        <v>1262</v>
      </c>
      <c r="I16" s="989"/>
      <c r="J16" s="990">
        <v>45000000</v>
      </c>
      <c r="K16" s="984" t="s">
        <v>1266</v>
      </c>
    </row>
    <row r="17" spans="1:11" ht="16.899999999999999" thickBot="1">
      <c r="A17" s="2284" t="str">
        <f>+H6</f>
        <v>Derechos de agua</v>
      </c>
      <c r="B17" s="2284"/>
      <c r="C17" s="714"/>
      <c r="D17" s="715" t="s">
        <v>1473</v>
      </c>
      <c r="E17" s="716" t="s">
        <v>1472</v>
      </c>
      <c r="F17" s="717" t="s">
        <v>935</v>
      </c>
      <c r="H17" s="985" t="s">
        <v>926</v>
      </c>
      <c r="I17" s="987"/>
      <c r="J17" s="987"/>
      <c r="K17" s="988"/>
    </row>
    <row r="18" spans="1:11" ht="16.899999999999999" thickBot="1">
      <c r="A18" s="709" t="s">
        <v>986</v>
      </c>
      <c r="B18" s="709"/>
      <c r="C18" s="709"/>
      <c r="D18" s="796"/>
      <c r="E18" s="797"/>
      <c r="F18" s="798"/>
      <c r="H18" s="981" t="s">
        <v>1267</v>
      </c>
      <c r="I18" s="2288" t="s">
        <v>1268</v>
      </c>
      <c r="J18" s="2288"/>
      <c r="K18" s="984" t="s">
        <v>1266</v>
      </c>
    </row>
    <row r="19" spans="1:11" ht="16.899999999999999" thickBot="1">
      <c r="A19" s="709"/>
      <c r="B19" s="709"/>
      <c r="C19" s="709"/>
      <c r="D19" s="718"/>
      <c r="E19" s="719"/>
      <c r="F19" s="720"/>
    </row>
    <row r="20" spans="1:11" ht="16.899999999999999" thickBot="1">
      <c r="E20" s="800"/>
      <c r="F20" s="800"/>
    </row>
    <row r="21" spans="1:11" ht="16.899999999999999" thickBot="1">
      <c r="A21" s="1425" t="s">
        <v>1055</v>
      </c>
      <c r="B21" s="2177" t="s">
        <v>1052</v>
      </c>
      <c r="C21" s="2112"/>
      <c r="D21" s="2113"/>
      <c r="E21" s="1426" t="s">
        <v>1056</v>
      </c>
      <c r="F21" s="1426" t="s">
        <v>1057</v>
      </c>
    </row>
    <row r="22" spans="1:11">
      <c r="A22" s="723"/>
      <c r="B22" s="724" t="s">
        <v>1058</v>
      </c>
      <c r="C22" s="725"/>
      <c r="D22" s="726" t="s">
        <v>1058</v>
      </c>
      <c r="E22" s="727"/>
      <c r="F22" s="728"/>
    </row>
    <row r="23" spans="1:11">
      <c r="A23" s="723"/>
      <c r="B23" s="729"/>
      <c r="C23" s="709"/>
      <c r="D23" s="730"/>
      <c r="E23" s="727"/>
      <c r="F23" s="728"/>
    </row>
    <row r="24" spans="1:11">
      <c r="A24" s="723"/>
      <c r="B24" s="729"/>
      <c r="C24" s="709"/>
      <c r="D24" s="730"/>
      <c r="E24" s="727"/>
      <c r="F24" s="728"/>
    </row>
    <row r="25" spans="1:11">
      <c r="A25" s="723"/>
      <c r="B25" s="729" t="s">
        <v>1059</v>
      </c>
      <c r="C25" s="709"/>
      <c r="D25" s="730"/>
      <c r="E25" s="727"/>
      <c r="F25" s="728"/>
    </row>
    <row r="26" spans="1:11" ht="16.899999999999999" thickBot="1">
      <c r="A26" s="731"/>
      <c r="B26" s="732"/>
      <c r="C26" s="733"/>
      <c r="D26" s="734"/>
      <c r="E26" s="719"/>
      <c r="F26" s="720"/>
    </row>
    <row r="27" spans="1:11">
      <c r="A27" s="709"/>
      <c r="B27" s="709"/>
      <c r="C27" s="709"/>
      <c r="D27" s="709"/>
      <c r="E27" s="709"/>
      <c r="F27" s="709"/>
    </row>
    <row r="28" spans="1:11" ht="17.25">
      <c r="A28" s="2282" t="s">
        <v>1259</v>
      </c>
      <c r="B28" s="2282"/>
      <c r="C28" s="2282"/>
      <c r="D28" s="2282"/>
    </row>
    <row r="29" spans="1:11" ht="16.899999999999999" thickBot="1"/>
    <row r="30" spans="1:11" ht="16.899999999999999" thickBot="1">
      <c r="A30" s="2284" t="str">
        <f>+H11</f>
        <v>15101 Programas y Licencias Computacionales</v>
      </c>
      <c r="B30" s="2284"/>
      <c r="C30" s="714"/>
      <c r="D30" s="715" t="s">
        <v>1473</v>
      </c>
      <c r="E30" s="716" t="s">
        <v>1472</v>
      </c>
      <c r="F30" s="717" t="s">
        <v>935</v>
      </c>
    </row>
    <row r="31" spans="1:11">
      <c r="A31" s="709" t="s">
        <v>985</v>
      </c>
      <c r="B31" s="709"/>
      <c r="C31" s="709"/>
      <c r="D31" s="796"/>
      <c r="E31" s="797"/>
      <c r="F31" s="798"/>
    </row>
    <row r="32" spans="1:11" ht="16.899999999999999" thickBot="1">
      <c r="A32" s="709"/>
      <c r="B32" s="709"/>
      <c r="C32" s="709"/>
      <c r="D32" s="718"/>
      <c r="E32" s="719"/>
      <c r="F32" s="720"/>
    </row>
    <row r="33" spans="1:6" ht="16.899999999999999" thickBot="1">
      <c r="E33" s="800"/>
      <c r="F33" s="800"/>
    </row>
    <row r="34" spans="1:6" ht="16.899999999999999" thickBot="1">
      <c r="A34" s="1425" t="s">
        <v>1055</v>
      </c>
      <c r="B34" s="2177" t="s">
        <v>1052</v>
      </c>
      <c r="C34" s="2112"/>
      <c r="D34" s="2113"/>
      <c r="E34" s="1426" t="s">
        <v>1056</v>
      </c>
      <c r="F34" s="1426" t="s">
        <v>1057</v>
      </c>
    </row>
    <row r="35" spans="1:6">
      <c r="A35" s="723"/>
      <c r="B35" s="724" t="s">
        <v>1058</v>
      </c>
      <c r="C35" s="725"/>
      <c r="D35" s="726" t="s">
        <v>1058</v>
      </c>
      <c r="E35" s="727"/>
      <c r="F35" s="728"/>
    </row>
    <row r="36" spans="1:6">
      <c r="A36" s="723"/>
      <c r="B36" s="729"/>
      <c r="C36" s="709"/>
      <c r="D36" s="730"/>
      <c r="E36" s="727"/>
      <c r="F36" s="728"/>
    </row>
    <row r="37" spans="1:6">
      <c r="A37" s="723"/>
      <c r="B37" s="729"/>
      <c r="C37" s="709"/>
      <c r="D37" s="730"/>
      <c r="E37" s="727"/>
      <c r="F37" s="728"/>
    </row>
    <row r="38" spans="1:6">
      <c r="A38" s="723"/>
      <c r="B38" s="729" t="s">
        <v>1059</v>
      </c>
      <c r="C38" s="709"/>
      <c r="D38" s="730"/>
      <c r="E38" s="727"/>
      <c r="F38" s="728"/>
    </row>
    <row r="39" spans="1:6" ht="16.899999999999999" thickBot="1">
      <c r="A39" s="731"/>
      <c r="B39" s="732"/>
      <c r="C39" s="733"/>
      <c r="D39" s="734"/>
      <c r="E39" s="719"/>
      <c r="F39" s="720"/>
    </row>
    <row r="40" spans="1:6">
      <c r="A40" s="709"/>
      <c r="B40" s="709"/>
      <c r="C40" s="709"/>
      <c r="D40" s="709"/>
      <c r="E40" s="709"/>
      <c r="F40" s="709"/>
    </row>
    <row r="41" spans="1:6">
      <c r="A41" s="709"/>
      <c r="B41" s="709"/>
      <c r="C41" s="709"/>
      <c r="D41" s="709"/>
      <c r="E41" s="709"/>
      <c r="F41" s="709"/>
    </row>
    <row r="42" spans="1:6">
      <c r="A42" s="709"/>
      <c r="B42" s="709"/>
      <c r="C42" s="709"/>
      <c r="D42" s="709"/>
      <c r="E42" s="709"/>
      <c r="F42" s="709"/>
    </row>
    <row r="43" spans="1:6">
      <c r="A43" s="709"/>
      <c r="B43" s="709"/>
      <c r="C43" s="709"/>
      <c r="D43" s="709"/>
      <c r="E43" s="709"/>
      <c r="F43" s="709"/>
    </row>
    <row r="44" spans="1:6">
      <c r="A44" s="709"/>
      <c r="B44" s="709"/>
      <c r="C44" s="709"/>
      <c r="D44" s="709"/>
      <c r="E44" s="709"/>
      <c r="F44" s="709"/>
    </row>
    <row r="45" spans="1:6">
      <c r="A45" s="709"/>
      <c r="B45" s="709"/>
      <c r="C45" s="709"/>
      <c r="D45" s="709"/>
      <c r="E45" s="709"/>
      <c r="F45" s="709"/>
    </row>
    <row r="46" spans="1:6">
      <c r="A46" s="709"/>
      <c r="B46" s="709"/>
      <c r="C46" s="709"/>
      <c r="D46" s="709"/>
      <c r="E46" s="709"/>
      <c r="F46" s="709"/>
    </row>
    <row r="47" spans="1:6">
      <c r="A47" s="709"/>
      <c r="B47" s="709"/>
      <c r="C47" s="709"/>
      <c r="D47" s="709"/>
      <c r="E47" s="709"/>
      <c r="F47" s="709"/>
    </row>
    <row r="48" spans="1:6">
      <c r="A48" s="709"/>
      <c r="B48" s="709"/>
      <c r="C48" s="709"/>
      <c r="D48" s="709"/>
      <c r="E48" s="709"/>
      <c r="F48" s="709"/>
    </row>
    <row r="49" s="709" customFormat="1"/>
    <row r="50" s="709" customFormat="1"/>
    <row r="51" s="709" customFormat="1"/>
    <row r="52" s="709" customFormat="1"/>
    <row r="53" s="709" customFormat="1"/>
    <row r="54" s="709" customFormat="1"/>
    <row r="55" s="709" customFormat="1"/>
    <row r="56" s="709" customFormat="1"/>
    <row r="57" s="709" customFormat="1"/>
    <row r="58" s="709" customFormat="1"/>
    <row r="59" s="709" customFormat="1"/>
    <row r="60" s="709" customFormat="1"/>
    <row r="61" s="709" customFormat="1"/>
    <row r="62" s="709" customFormat="1"/>
    <row r="63" s="709" customFormat="1"/>
    <row r="64" s="709" customFormat="1"/>
    <row r="65" s="709" customFormat="1"/>
    <row r="66" s="709" customFormat="1"/>
    <row r="67" s="709" customFormat="1"/>
    <row r="68" s="709" customFormat="1"/>
    <row r="69" s="709" customFormat="1"/>
    <row r="70" s="709" customFormat="1"/>
    <row r="71" s="709" customFormat="1"/>
    <row r="72" s="709" customFormat="1"/>
    <row r="73" s="709" customFormat="1"/>
    <row r="74" s="709" customFormat="1"/>
    <row r="75" s="709" customFormat="1"/>
    <row r="76" s="709" customFormat="1"/>
    <row r="77" s="709" customFormat="1"/>
    <row r="78" s="709" customFormat="1"/>
    <row r="79" s="709" customFormat="1"/>
    <row r="80" s="709" customFormat="1"/>
    <row r="81" s="709" customFormat="1"/>
    <row r="82" s="709" customFormat="1"/>
    <row r="83" s="709" customFormat="1"/>
    <row r="84" s="709" customFormat="1"/>
    <row r="85" s="709" customFormat="1"/>
    <row r="86" s="709" customFormat="1"/>
    <row r="87" s="709" customFormat="1"/>
    <row r="88" s="709" customFormat="1"/>
    <row r="89" s="709" customFormat="1"/>
    <row r="90" s="709" customFormat="1"/>
    <row r="91" s="709" customFormat="1"/>
    <row r="92" s="709" customFormat="1"/>
    <row r="93" s="709" customFormat="1"/>
    <row r="94" s="709" customFormat="1"/>
    <row r="95" s="709" customFormat="1"/>
    <row r="96" s="709" customFormat="1"/>
    <row r="97" s="709" customFormat="1"/>
    <row r="98" s="709" customFormat="1"/>
    <row r="99" s="709" customFormat="1"/>
    <row r="100" s="709" customFormat="1"/>
    <row r="101" s="709" customFormat="1"/>
    <row r="102" s="709" customFormat="1"/>
    <row r="103" s="709" customFormat="1"/>
    <row r="104" s="709" customFormat="1"/>
    <row r="105" s="709" customFormat="1"/>
    <row r="106" s="709" customFormat="1"/>
    <row r="107" s="709" customFormat="1"/>
    <row r="108" s="709" customFormat="1"/>
    <row r="109" s="709" customFormat="1"/>
    <row r="110" s="709" customFormat="1"/>
    <row r="111" s="709" customFormat="1"/>
    <row r="112" s="709" customFormat="1"/>
    <row r="113" s="709" customFormat="1"/>
    <row r="114" s="709" customFormat="1"/>
    <row r="115" s="709" customFormat="1"/>
    <row r="116" s="709" customFormat="1"/>
    <row r="117" s="709" customFormat="1"/>
    <row r="118" s="709" customFormat="1"/>
    <row r="119" s="709" customFormat="1"/>
    <row r="120" s="709" customFormat="1"/>
    <row r="121" s="709" customFormat="1"/>
    <row r="122" s="709" customFormat="1"/>
    <row r="123" s="709" customFormat="1"/>
    <row r="124" s="709" customFormat="1"/>
    <row r="125" s="709" customFormat="1"/>
    <row r="126" s="709" customFormat="1"/>
    <row r="127" s="709" customFormat="1"/>
    <row r="128" s="709" customFormat="1"/>
    <row r="129" s="709" customFormat="1"/>
    <row r="130" s="709" customFormat="1"/>
    <row r="131" s="709" customFormat="1"/>
    <row r="132" s="709" customFormat="1"/>
    <row r="133" s="709" customFormat="1"/>
    <row r="134" s="709" customFormat="1"/>
    <row r="135" s="709" customFormat="1"/>
    <row r="136" s="709" customFormat="1"/>
    <row r="137" s="709" customFormat="1"/>
    <row r="138" s="709" customFormat="1"/>
    <row r="139" s="709" customFormat="1"/>
    <row r="140" s="709" customFormat="1"/>
    <row r="141" s="709" customFormat="1"/>
    <row r="142" s="709" customFormat="1"/>
    <row r="143" s="709" customFormat="1"/>
    <row r="144" s="709" customFormat="1"/>
    <row r="145" s="709" customFormat="1"/>
    <row r="146" s="709" customFormat="1"/>
    <row r="147" s="709" customFormat="1"/>
    <row r="148" s="709" customFormat="1"/>
    <row r="149" s="709" customFormat="1"/>
    <row r="150" s="709" customFormat="1"/>
    <row r="151" s="709" customFormat="1"/>
    <row r="152" s="709" customFormat="1"/>
    <row r="153" s="709" customFormat="1"/>
    <row r="154" s="709" customFormat="1"/>
    <row r="155" s="709" customFormat="1"/>
    <row r="156" s="709" customFormat="1"/>
    <row r="157" s="709" customFormat="1"/>
    <row r="158" s="709" customFormat="1"/>
    <row r="159" s="709" customFormat="1"/>
    <row r="160" s="709" customFormat="1"/>
    <row r="161" s="709" customFormat="1"/>
    <row r="162" s="709" customFormat="1"/>
    <row r="163" s="709" customFormat="1"/>
    <row r="164" s="709" customFormat="1"/>
    <row r="165" s="709" customFormat="1"/>
    <row r="166" s="709" customFormat="1"/>
    <row r="167" s="709" customFormat="1"/>
    <row r="168" s="709" customFormat="1"/>
    <row r="169" s="709" customFormat="1"/>
    <row r="170" s="709" customFormat="1"/>
    <row r="171" s="709" customFormat="1"/>
    <row r="172" s="709" customFormat="1"/>
    <row r="173" s="709" customFormat="1"/>
    <row r="174" s="709" customFormat="1"/>
    <row r="175" s="709" customFormat="1"/>
    <row r="176" s="709" customFormat="1"/>
    <row r="177" s="709" customFormat="1"/>
    <row r="178" s="709" customFormat="1"/>
    <row r="179" s="709" customFormat="1"/>
    <row r="180" s="709" customFormat="1"/>
    <row r="181" s="709" customFormat="1"/>
    <row r="182" s="709" customFormat="1"/>
    <row r="183" s="709" customFormat="1"/>
    <row r="184" s="709" customFormat="1"/>
    <row r="185" s="709" customFormat="1"/>
    <row r="186" s="709" customFormat="1"/>
    <row r="187" s="709" customFormat="1"/>
    <row r="188" s="709" customFormat="1"/>
    <row r="189" s="709" customFormat="1"/>
    <row r="190" s="709" customFormat="1"/>
    <row r="191" s="709" customFormat="1"/>
    <row r="192" s="709" customFormat="1"/>
    <row r="193" s="709" customFormat="1"/>
    <row r="194" s="709" customFormat="1"/>
    <row r="195" s="709" customFormat="1"/>
    <row r="196" s="709" customFormat="1"/>
    <row r="197" s="709" customFormat="1"/>
    <row r="198" s="709" customFormat="1"/>
    <row r="199" s="709" customFormat="1"/>
    <row r="200" s="709" customFormat="1"/>
    <row r="201" s="709" customFormat="1"/>
    <row r="202" s="709" customFormat="1"/>
    <row r="203" s="709" customFormat="1"/>
    <row r="204" s="709" customFormat="1"/>
    <row r="205" s="709" customFormat="1"/>
    <row r="206" s="709" customFormat="1"/>
    <row r="207" s="709" customFormat="1"/>
    <row r="208" s="709" customFormat="1"/>
    <row r="209" s="709" customFormat="1"/>
    <row r="210" s="709" customFormat="1"/>
    <row r="211" s="709" customFormat="1"/>
    <row r="212" s="709" customFormat="1"/>
    <row r="213" s="709" customFormat="1"/>
    <row r="214" s="709" customFormat="1"/>
    <row r="215" s="709" customFormat="1"/>
    <row r="216" s="709" customFormat="1"/>
    <row r="217" s="709" customFormat="1"/>
    <row r="218" s="709" customFormat="1"/>
    <row r="219" s="709" customFormat="1"/>
    <row r="220" s="709" customFormat="1"/>
    <row r="221" s="709" customFormat="1"/>
    <row r="222" s="709" customFormat="1"/>
    <row r="223" s="709" customFormat="1"/>
    <row r="224" s="709" customFormat="1"/>
    <row r="225" s="709" customFormat="1"/>
    <row r="226" s="709" customFormat="1"/>
    <row r="227" s="709" customFormat="1"/>
    <row r="228" s="709" customFormat="1"/>
    <row r="229" s="709" customFormat="1"/>
    <row r="230" s="709" customFormat="1"/>
    <row r="231" s="709" customFormat="1"/>
    <row r="232" s="709" customFormat="1"/>
    <row r="233" s="709" customFormat="1"/>
    <row r="234" s="709" customFormat="1"/>
    <row r="235" s="709" customFormat="1"/>
    <row r="236" s="709" customFormat="1"/>
    <row r="237" s="709" customFormat="1"/>
    <row r="238" s="709" customFormat="1"/>
    <row r="239" s="709" customFormat="1"/>
    <row r="240" s="709" customFormat="1"/>
    <row r="241" s="709" customFormat="1"/>
    <row r="242" s="709" customFormat="1"/>
    <row r="243" s="709" customFormat="1"/>
    <row r="244" s="709" customFormat="1"/>
    <row r="245" s="709" customFormat="1"/>
    <row r="246" s="709" customFormat="1"/>
    <row r="247" s="709" customFormat="1"/>
    <row r="248" s="709" customFormat="1"/>
    <row r="249" s="709" customFormat="1"/>
    <row r="250" s="709" customFormat="1"/>
    <row r="251" s="709" customFormat="1"/>
    <row r="252" s="709" customFormat="1"/>
    <row r="253" s="709" customFormat="1"/>
    <row r="254" s="709" customFormat="1"/>
    <row r="255" s="709" customFormat="1"/>
    <row r="256" s="709" customFormat="1"/>
    <row r="257" s="709" customFormat="1"/>
    <row r="258" s="709" customFormat="1"/>
    <row r="259" s="709" customFormat="1"/>
    <row r="260" s="709" customFormat="1"/>
    <row r="261" s="709" customFormat="1"/>
    <row r="262" s="709" customFormat="1"/>
    <row r="263" s="709" customFormat="1"/>
    <row r="264" s="709" customFormat="1"/>
    <row r="265" s="709" customFormat="1"/>
    <row r="266" s="709" customFormat="1"/>
    <row r="267" s="709" customFormat="1"/>
    <row r="268" s="709" customFormat="1"/>
    <row r="269" s="709" customFormat="1"/>
    <row r="270" s="709" customFormat="1"/>
    <row r="271" s="709" customFormat="1"/>
    <row r="272" s="709" customFormat="1"/>
    <row r="273" s="709" customFormat="1"/>
    <row r="274" s="709" customFormat="1"/>
    <row r="275" s="709" customFormat="1"/>
    <row r="276" s="709" customFormat="1"/>
    <row r="277" s="709" customFormat="1"/>
    <row r="278" s="709" customFormat="1"/>
    <row r="279" s="709" customFormat="1"/>
    <row r="280" s="709" customFormat="1"/>
    <row r="281" s="709" customFormat="1"/>
    <row r="282" s="709" customFormat="1"/>
    <row r="283" s="709" customFormat="1"/>
    <row r="284" s="709" customFormat="1"/>
    <row r="285" s="709" customFormat="1"/>
    <row r="286" s="709" customFormat="1"/>
    <row r="287" s="709" customFormat="1"/>
    <row r="288" s="709" customFormat="1"/>
    <row r="289" s="709" customFormat="1"/>
    <row r="290" s="709" customFormat="1"/>
    <row r="291" s="709" customFormat="1"/>
    <row r="292" s="709" customFormat="1"/>
    <row r="293" s="709" customFormat="1"/>
    <row r="294" s="709" customFormat="1"/>
    <row r="295" s="709" customFormat="1"/>
    <row r="296" s="709" customFormat="1"/>
    <row r="297" s="709" customFormat="1"/>
    <row r="298" s="709" customFormat="1"/>
    <row r="299" s="709" customFormat="1"/>
    <row r="300" s="709" customFormat="1"/>
    <row r="301" s="709" customFormat="1"/>
    <row r="302" s="709" customFormat="1"/>
    <row r="303" s="709" customFormat="1"/>
    <row r="304" s="709" customFormat="1"/>
    <row r="305" s="709" customFormat="1"/>
    <row r="306" s="709" customFormat="1"/>
    <row r="307" s="709" customFormat="1"/>
    <row r="308" s="709" customFormat="1"/>
    <row r="309" s="709" customFormat="1"/>
    <row r="310" s="709" customFormat="1"/>
    <row r="311" s="709" customFormat="1"/>
    <row r="312" s="709" customFormat="1"/>
    <row r="313" s="709" customFormat="1"/>
    <row r="314" s="709" customFormat="1"/>
    <row r="315" s="709" customFormat="1"/>
    <row r="316" s="709" customFormat="1"/>
    <row r="317" s="709" customFormat="1"/>
    <row r="318" s="709" customFormat="1"/>
    <row r="319" s="709" customFormat="1"/>
    <row r="320" s="709" customFormat="1"/>
    <row r="321" s="709" customFormat="1"/>
    <row r="322" s="709" customFormat="1"/>
    <row r="323" s="709" customFormat="1"/>
    <row r="324" s="709" customFormat="1"/>
    <row r="325" s="709" customFormat="1"/>
    <row r="326" s="709" customFormat="1"/>
    <row r="327" s="709" customFormat="1"/>
    <row r="328" s="709" customFormat="1"/>
    <row r="329" s="709" customFormat="1"/>
    <row r="330" s="709" customFormat="1"/>
    <row r="331" s="709" customFormat="1"/>
    <row r="332" s="709" customFormat="1"/>
    <row r="333" s="709" customFormat="1"/>
    <row r="334" s="709" customFormat="1"/>
    <row r="335" s="709" customFormat="1"/>
    <row r="336" s="709" customFormat="1"/>
    <row r="337" s="709" customFormat="1"/>
    <row r="338" s="709" customFormat="1"/>
    <row r="339" s="709" customFormat="1"/>
    <row r="340" s="709" customFormat="1"/>
    <row r="341" s="709" customFormat="1"/>
    <row r="342" s="709" customFormat="1"/>
    <row r="343" s="709" customFormat="1"/>
    <row r="344" s="709" customFormat="1"/>
    <row r="345" s="709" customFormat="1"/>
    <row r="346" s="709" customFormat="1"/>
    <row r="347" s="709" customFormat="1"/>
    <row r="348" s="709" customFormat="1"/>
    <row r="349" s="709" customFormat="1"/>
    <row r="350" s="709" customFormat="1"/>
    <row r="351" s="709" customFormat="1"/>
    <row r="352" s="709" customFormat="1"/>
    <row r="353" s="709" customFormat="1"/>
    <row r="354" s="709" customFormat="1"/>
    <row r="355" s="709" customFormat="1"/>
    <row r="356" s="709" customFormat="1"/>
    <row r="357" s="709" customFormat="1"/>
    <row r="358" s="709" customFormat="1"/>
    <row r="359" s="709" customFormat="1"/>
    <row r="360" s="709" customFormat="1"/>
  </sheetData>
  <mergeCells count="15">
    <mergeCell ref="A28:D28"/>
    <mergeCell ref="A30:B30"/>
    <mergeCell ref="B34:D34"/>
    <mergeCell ref="H9:H10"/>
    <mergeCell ref="H11:K11"/>
    <mergeCell ref="A15:D15"/>
    <mergeCell ref="A17:B17"/>
    <mergeCell ref="I18:J18"/>
    <mergeCell ref="B21:D21"/>
    <mergeCell ref="B8:D8"/>
    <mergeCell ref="H1:H2"/>
    <mergeCell ref="A2:D2"/>
    <mergeCell ref="H3:M3"/>
    <mergeCell ref="A4:B4"/>
    <mergeCell ref="H6:M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28A9-16C4-4AB5-A4B0-DB8127C54671}">
  <dimension ref="B1:K44"/>
  <sheetViews>
    <sheetView workbookViewId="0">
      <selection activeCell="F7" sqref="A7:F8"/>
    </sheetView>
  </sheetViews>
  <sheetFormatPr baseColWidth="10" defaultColWidth="10.86328125" defaultRowHeight="18.75"/>
  <cols>
    <col min="1" max="1" width="3.33203125" style="1009" customWidth="1"/>
    <col min="2" max="2" width="12.33203125" style="1009" customWidth="1"/>
    <col min="3" max="3" width="10.86328125" style="1009"/>
    <col min="4" max="4" width="21.19921875" style="1009" customWidth="1"/>
    <col min="5" max="5" width="18.796875" style="1009" customWidth="1"/>
    <col min="6" max="6" width="26.796875" style="1009" bestFit="1" customWidth="1"/>
    <col min="7" max="7" width="18.796875" style="1009" customWidth="1"/>
    <col min="8" max="8" width="17.6640625" style="1009" customWidth="1"/>
    <col min="9" max="9" width="19.1328125" style="1009" bestFit="1" customWidth="1"/>
    <col min="10" max="10" width="16" style="1009" customWidth="1"/>
    <col min="11" max="16384" width="10.86328125" style="1009"/>
  </cols>
  <sheetData>
    <row r="1" spans="2:10" ht="19.149999999999999" thickBot="1"/>
    <row r="2" spans="2:10">
      <c r="C2" s="1010" t="s">
        <v>1276</v>
      </c>
      <c r="D2" s="1011" t="s">
        <v>1072</v>
      </c>
      <c r="E2" s="1011">
        <v>10</v>
      </c>
      <c r="F2" s="1012" t="s">
        <v>1277</v>
      </c>
    </row>
    <row r="3" spans="2:10" ht="19.149999999999999" thickBot="1">
      <c r="C3" s="1431" t="s">
        <v>1278</v>
      </c>
      <c r="D3" s="1432" t="s">
        <v>1072</v>
      </c>
      <c r="E3" s="1432">
        <v>10</v>
      </c>
      <c r="F3" s="1433" t="s">
        <v>509</v>
      </c>
    </row>
    <row r="4" spans="2:10" ht="19.149999999999999" thickBot="1">
      <c r="C4" s="1013"/>
      <c r="D4" s="1013"/>
      <c r="E4" s="1013"/>
      <c r="F4" s="1013"/>
      <c r="G4" s="1185"/>
    </row>
    <row r="5" spans="2:10" ht="19.149999999999999" thickBot="1">
      <c r="B5" s="1125" t="s">
        <v>1309</v>
      </c>
      <c r="C5" s="1126"/>
      <c r="D5" s="1126"/>
      <c r="E5" s="1126" t="s">
        <v>1072</v>
      </c>
      <c r="F5" s="1186"/>
      <c r="G5" s="1185"/>
    </row>
    <row r="6" spans="2:10">
      <c r="C6" s="1013"/>
      <c r="D6" s="1013"/>
      <c r="E6" s="1013"/>
      <c r="F6" s="1013"/>
      <c r="G6" s="1185"/>
    </row>
    <row r="7" spans="2:10">
      <c r="C7" s="1013"/>
      <c r="D7" s="1013"/>
      <c r="E7" s="1013"/>
      <c r="F7" s="1013"/>
      <c r="G7" s="1018"/>
      <c r="H7" s="1017"/>
    </row>
    <row r="8" spans="2:10">
      <c r="C8" s="1013"/>
      <c r="D8" s="1013"/>
      <c r="E8" s="1013"/>
      <c r="F8" s="1013"/>
    </row>
    <row r="9" spans="2:10" ht="19.149999999999999" thickBot="1">
      <c r="C9" s="1013"/>
      <c r="D9" s="1013"/>
      <c r="E9" s="1013"/>
      <c r="F9" s="1013"/>
    </row>
    <row r="10" spans="2:10">
      <c r="B10" s="2290" t="s">
        <v>1267</v>
      </c>
      <c r="D10" s="2290" t="s">
        <v>310</v>
      </c>
      <c r="H10" s="2293" t="s">
        <v>1342</v>
      </c>
      <c r="J10" s="2290" t="s">
        <v>1279</v>
      </c>
    </row>
    <row r="11" spans="2:10">
      <c r="B11" s="2291"/>
      <c r="C11" s="1013" t="s">
        <v>1072</v>
      </c>
      <c r="D11" s="2291"/>
      <c r="E11" s="1013" t="s">
        <v>1280</v>
      </c>
      <c r="F11" s="1127" t="s">
        <v>1115</v>
      </c>
      <c r="G11" s="1013" t="s">
        <v>1058</v>
      </c>
      <c r="H11" s="2294"/>
      <c r="I11" s="1013" t="s">
        <v>1114</v>
      </c>
      <c r="J11" s="2291"/>
    </row>
    <row r="12" spans="2:10" ht="19.149999999999999" thickBot="1">
      <c r="B12" s="2292"/>
      <c r="D12" s="2292"/>
      <c r="F12" s="1013" t="s">
        <v>1281</v>
      </c>
      <c r="H12" s="2295"/>
      <c r="J12" s="2292"/>
    </row>
    <row r="14" spans="2:10" ht="19.149999999999999" thickBot="1"/>
    <row r="15" spans="2:10">
      <c r="B15" s="2290" t="s">
        <v>1267</v>
      </c>
    </row>
    <row r="16" spans="2:10">
      <c r="B16" s="2291"/>
      <c r="C16" s="1013" t="s">
        <v>1072</v>
      </c>
      <c r="D16" s="1015"/>
      <c r="E16" s="1013" t="s">
        <v>1114</v>
      </c>
      <c r="F16" s="1014"/>
      <c r="G16" s="1013" t="s">
        <v>1058</v>
      </c>
      <c r="H16" s="1015"/>
      <c r="I16" s="1013" t="s">
        <v>1114</v>
      </c>
      <c r="J16" s="1016"/>
    </row>
    <row r="17" spans="2:11" ht="19.149999999999999" thickBot="1">
      <c r="B17" s="2292"/>
      <c r="C17" s="1013"/>
    </row>
    <row r="18" spans="2:11">
      <c r="C18" s="1013"/>
    </row>
    <row r="19" spans="2:11" ht="19.149999999999999" thickBot="1">
      <c r="C19" s="1013"/>
    </row>
    <row r="20" spans="2:11">
      <c r="B20" s="2290" t="s">
        <v>1267</v>
      </c>
      <c r="C20" s="1013"/>
    </row>
    <row r="21" spans="2:11">
      <c r="B21" s="2291"/>
      <c r="C21" s="1013" t="s">
        <v>1072</v>
      </c>
      <c r="D21" s="1017"/>
      <c r="G21" s="1013" t="s">
        <v>1058</v>
      </c>
      <c r="H21" s="1017">
        <f>+H16*J16</f>
        <v>0</v>
      </c>
    </row>
    <row r="22" spans="2:11" ht="19.149999999999999" thickBot="1">
      <c r="B22" s="2292"/>
      <c r="C22" s="1013"/>
    </row>
    <row r="23" spans="2:11" ht="19.149999999999999" thickBot="1">
      <c r="C23" s="1013"/>
      <c r="F23" s="1187"/>
      <c r="G23" s="1016"/>
      <c r="I23" s="1017"/>
      <c r="J23" s="1128"/>
      <c r="K23" s="1016">
        <v>0.08</v>
      </c>
    </row>
    <row r="24" spans="2:11">
      <c r="B24" s="2296" t="s">
        <v>1267</v>
      </c>
      <c r="C24" s="1435"/>
      <c r="D24" s="1436"/>
      <c r="F24" s="1187"/>
      <c r="G24" s="1016"/>
      <c r="I24" s="1017"/>
      <c r="J24" s="1128"/>
    </row>
    <row r="25" spans="2:11">
      <c r="B25" s="2297"/>
      <c r="C25" s="1435" t="s">
        <v>1072</v>
      </c>
      <c r="D25" s="1437"/>
      <c r="F25" s="1188"/>
      <c r="G25" s="1016"/>
      <c r="I25" s="1017"/>
      <c r="J25" s="1128"/>
    </row>
    <row r="26" spans="2:11" ht="19.149999999999999" thickBot="1">
      <c r="B26" s="2298"/>
      <c r="C26" s="1436"/>
      <c r="D26" s="1436"/>
      <c r="F26" s="1187"/>
      <c r="G26" s="1016"/>
      <c r="I26" s="1017"/>
      <c r="J26" s="1128"/>
    </row>
    <row r="27" spans="2:11">
      <c r="F27" s="1189"/>
      <c r="G27" s="1016"/>
      <c r="I27" s="1017"/>
      <c r="J27" s="1128"/>
    </row>
    <row r="28" spans="2:11">
      <c r="G28" s="1190"/>
      <c r="I28" s="1018"/>
    </row>
    <row r="29" spans="2:11">
      <c r="B29" s="2289" t="s">
        <v>1259</v>
      </c>
      <c r="C29" s="2289"/>
      <c r="D29" s="2289"/>
      <c r="E29" s="2289"/>
      <c r="F29" s="1434"/>
      <c r="G29" s="795"/>
    </row>
    <row r="30" spans="2:11" ht="19.149999999999999" thickBot="1">
      <c r="B30" s="211"/>
      <c r="C30" s="211"/>
      <c r="D30" s="211"/>
      <c r="E30" s="211"/>
      <c r="F30" s="795"/>
      <c r="G30" s="795"/>
    </row>
    <row r="31" spans="2:11" ht="19.149999999999999" thickBot="1">
      <c r="B31" s="2284" t="str">
        <f>+B29</f>
        <v>Intangibles</v>
      </c>
      <c r="C31" s="2284"/>
      <c r="D31" s="714"/>
      <c r="E31" s="715" t="s">
        <v>1053</v>
      </c>
      <c r="F31" s="716" t="s">
        <v>857</v>
      </c>
      <c r="G31" s="717" t="s">
        <v>1054</v>
      </c>
    </row>
    <row r="32" spans="2:11">
      <c r="B32" s="709" t="s">
        <v>989</v>
      </c>
      <c r="C32" s="709"/>
      <c r="D32" s="709"/>
      <c r="E32" s="796"/>
      <c r="F32" s="797"/>
      <c r="G32" s="798"/>
    </row>
    <row r="33" spans="2:7" ht="19.149999999999999" thickBot="1">
      <c r="B33" s="709"/>
      <c r="C33" s="709"/>
      <c r="D33" s="709"/>
      <c r="E33" s="718"/>
      <c r="F33" s="719"/>
      <c r="G33" s="720"/>
    </row>
    <row r="34" spans="2:7" ht="19.149999999999999" thickBot="1">
      <c r="B34" s="211"/>
      <c r="C34" s="211"/>
      <c r="D34" s="211"/>
      <c r="E34" s="211"/>
      <c r="F34" s="800"/>
      <c r="G34" s="800"/>
    </row>
    <row r="35" spans="2:7" ht="19.149999999999999" thickBot="1">
      <c r="B35" s="1425" t="s">
        <v>1055</v>
      </c>
      <c r="C35" s="2177" t="s">
        <v>1052</v>
      </c>
      <c r="D35" s="2112"/>
      <c r="E35" s="2113"/>
      <c r="F35" s="1426" t="s">
        <v>1056</v>
      </c>
      <c r="G35" s="1426" t="s">
        <v>1057</v>
      </c>
    </row>
    <row r="36" spans="2:7">
      <c r="B36" s="723"/>
      <c r="C36" s="724" t="s">
        <v>1058</v>
      </c>
      <c r="D36" s="725"/>
      <c r="E36" s="726" t="s">
        <v>1058</v>
      </c>
      <c r="F36" s="727"/>
      <c r="G36" s="728"/>
    </row>
    <row r="37" spans="2:7">
      <c r="B37" s="723"/>
      <c r="C37" s="729"/>
      <c r="D37" s="709"/>
      <c r="E37" s="730"/>
      <c r="F37" s="727"/>
      <c r="G37" s="728"/>
    </row>
    <row r="38" spans="2:7">
      <c r="B38" s="723"/>
      <c r="C38" s="729"/>
      <c r="D38" s="709"/>
      <c r="E38" s="730"/>
      <c r="F38" s="727"/>
      <c r="G38" s="728"/>
    </row>
    <row r="39" spans="2:7">
      <c r="B39" s="723"/>
      <c r="C39" s="729"/>
      <c r="D39" s="709"/>
      <c r="E39" s="730"/>
      <c r="F39" s="727"/>
      <c r="G39" s="728"/>
    </row>
    <row r="40" spans="2:7" ht="19.149999999999999" thickBot="1">
      <c r="B40" s="731"/>
      <c r="C40" s="732"/>
      <c r="D40" s="733"/>
      <c r="E40" s="734"/>
      <c r="F40" s="719"/>
      <c r="G40" s="720"/>
    </row>
    <row r="42" spans="2:7">
      <c r="F42" s="1018"/>
    </row>
    <row r="43" spans="2:7">
      <c r="F43" s="1018"/>
    </row>
    <row r="44" spans="2:7">
      <c r="F44" s="1018"/>
    </row>
  </sheetData>
  <mergeCells count="10">
    <mergeCell ref="H10:H12"/>
    <mergeCell ref="J10:J12"/>
    <mergeCell ref="B15:B17"/>
    <mergeCell ref="B20:B22"/>
    <mergeCell ref="B24:B26"/>
    <mergeCell ref="B29:E29"/>
    <mergeCell ref="B31:C31"/>
    <mergeCell ref="C35:E35"/>
    <mergeCell ref="B10:B12"/>
    <mergeCell ref="D10:D1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ABDC-9134-4EA0-9ABC-C21D88299C69}">
  <dimension ref="A1:M36"/>
  <sheetViews>
    <sheetView workbookViewId="0">
      <selection activeCell="E9" sqref="E9:E11"/>
    </sheetView>
  </sheetViews>
  <sheetFormatPr baseColWidth="10" defaultColWidth="10.86328125" defaultRowHeight="17.25"/>
  <cols>
    <col min="1" max="1" width="4.46484375" style="991" bestFit="1" customWidth="1"/>
    <col min="2" max="2" width="57.1328125" style="991" bestFit="1" customWidth="1"/>
    <col min="3" max="3" width="22.1328125" style="991" customWidth="1"/>
    <col min="4" max="4" width="19.19921875" style="991" customWidth="1"/>
    <col min="5" max="5" width="20.19921875" style="991" bestFit="1" customWidth="1"/>
    <col min="6" max="6" width="19.86328125" style="991" bestFit="1" customWidth="1"/>
    <col min="7" max="7" width="21.33203125" style="991" bestFit="1" customWidth="1"/>
    <col min="8" max="8" width="1.796875" style="991" customWidth="1"/>
    <col min="9" max="9" width="7.19921875" style="991" customWidth="1"/>
    <col min="10" max="10" width="2.796875" style="991" bestFit="1" customWidth="1"/>
    <col min="11" max="11" width="4.796875" style="991" customWidth="1"/>
    <col min="12" max="12" width="2.19921875" style="991" customWidth="1"/>
    <col min="13" max="16384" width="10.86328125" style="991"/>
  </cols>
  <sheetData>
    <row r="1" spans="1:13" ht="17.649999999999999" thickBot="1">
      <c r="F1" s="2299">
        <v>0.27</v>
      </c>
      <c r="G1" s="2300"/>
      <c r="H1" s="992"/>
    </row>
    <row r="2" spans="1:13" ht="17.649999999999999" thickBot="1">
      <c r="A2" s="1438" t="s">
        <v>1102</v>
      </c>
      <c r="B2" s="1439" t="s">
        <v>1052</v>
      </c>
      <c r="C2" s="1439" t="s">
        <v>857</v>
      </c>
      <c r="D2" s="1439" t="s">
        <v>858</v>
      </c>
      <c r="E2" s="1439" t="s">
        <v>1269</v>
      </c>
      <c r="F2" s="1439" t="s">
        <v>294</v>
      </c>
      <c r="G2" s="1439" t="s">
        <v>295</v>
      </c>
      <c r="H2" s="992"/>
      <c r="I2" s="993" t="s">
        <v>1270</v>
      </c>
      <c r="J2" s="994"/>
      <c r="K2" s="994" t="s">
        <v>1271</v>
      </c>
      <c r="L2" s="995"/>
      <c r="M2" s="996" t="s">
        <v>1272</v>
      </c>
    </row>
    <row r="3" spans="1:13">
      <c r="A3" s="819">
        <v>1</v>
      </c>
      <c r="B3" s="819"/>
      <c r="C3" s="997"/>
      <c r="D3" s="997"/>
      <c r="E3" s="997"/>
      <c r="F3" s="997"/>
      <c r="G3" s="997"/>
      <c r="H3" s="998"/>
      <c r="I3" s="999" t="s">
        <v>1180</v>
      </c>
      <c r="J3" s="1000" t="s">
        <v>1273</v>
      </c>
      <c r="K3" s="1000" t="s">
        <v>1180</v>
      </c>
      <c r="L3" s="1001"/>
      <c r="M3" s="1002" t="s">
        <v>1274</v>
      </c>
    </row>
    <row r="4" spans="1:13">
      <c r="A4" s="819">
        <v>2</v>
      </c>
      <c r="B4" s="819"/>
      <c r="C4" s="997"/>
      <c r="D4" s="997"/>
      <c r="E4" s="997"/>
      <c r="F4" s="997"/>
      <c r="G4" s="997"/>
      <c r="H4" s="998"/>
      <c r="I4" s="999" t="s">
        <v>1180</v>
      </c>
      <c r="J4" s="1000" t="s">
        <v>1275</v>
      </c>
      <c r="K4" s="1000" t="s">
        <v>1180</v>
      </c>
      <c r="L4" s="1001"/>
      <c r="M4" s="1002" t="s">
        <v>1180</v>
      </c>
    </row>
    <row r="5" spans="1:13">
      <c r="A5" s="819">
        <v>3</v>
      </c>
      <c r="B5" s="819"/>
      <c r="C5" s="997"/>
      <c r="D5" s="997"/>
      <c r="E5" s="997"/>
      <c r="F5" s="997"/>
      <c r="G5" s="997"/>
      <c r="H5" s="998"/>
      <c r="I5" s="999" t="s">
        <v>1274</v>
      </c>
      <c r="J5" s="1000" t="s">
        <v>1273</v>
      </c>
      <c r="K5" s="1000" t="s">
        <v>1274</v>
      </c>
      <c r="L5" s="1001"/>
      <c r="M5" s="1002" t="s">
        <v>1180</v>
      </c>
    </row>
    <row r="6" spans="1:13" ht="17.649999999999999" thickBot="1">
      <c r="A6" s="819">
        <v>4</v>
      </c>
      <c r="B6" s="819"/>
      <c r="C6" s="997"/>
      <c r="D6" s="997"/>
      <c r="E6" s="997"/>
      <c r="F6" s="997"/>
      <c r="G6" s="997"/>
      <c r="H6" s="998"/>
      <c r="I6" s="1003" t="s">
        <v>1274</v>
      </c>
      <c r="J6" s="1004" t="s">
        <v>1275</v>
      </c>
      <c r="K6" s="1004" t="s">
        <v>1274</v>
      </c>
      <c r="L6" s="1005"/>
      <c r="M6" s="1006" t="s">
        <v>1274</v>
      </c>
    </row>
    <row r="7" spans="1:13">
      <c r="A7" s="819">
        <v>5</v>
      </c>
      <c r="B7" s="819"/>
      <c r="C7" s="997"/>
      <c r="D7" s="997"/>
      <c r="E7" s="997"/>
      <c r="F7" s="997"/>
      <c r="G7" s="997"/>
      <c r="H7" s="998"/>
    </row>
    <row r="8" spans="1:13">
      <c r="A8" s="819">
        <v>6</v>
      </c>
      <c r="B8" s="819"/>
      <c r="C8" s="997"/>
      <c r="D8" s="997"/>
      <c r="E8" s="997"/>
      <c r="F8" s="997"/>
      <c r="G8" s="997"/>
      <c r="H8" s="998"/>
    </row>
    <row r="9" spans="1:13">
      <c r="A9" s="819">
        <v>7</v>
      </c>
      <c r="B9" s="819"/>
      <c r="C9" s="997"/>
      <c r="D9" s="997"/>
      <c r="E9" s="997"/>
      <c r="F9" s="997"/>
      <c r="G9" s="997"/>
      <c r="H9" s="998"/>
    </row>
    <row r="10" spans="1:13">
      <c r="A10" s="819">
        <v>8</v>
      </c>
      <c r="B10" s="819"/>
      <c r="C10" s="997"/>
      <c r="D10" s="997"/>
      <c r="E10" s="997"/>
      <c r="F10" s="997"/>
      <c r="G10" s="997"/>
      <c r="H10" s="998"/>
    </row>
    <row r="11" spans="1:13">
      <c r="A11" s="819">
        <v>9</v>
      </c>
      <c r="B11" s="819"/>
      <c r="C11" s="997"/>
      <c r="D11" s="997"/>
      <c r="E11" s="997"/>
      <c r="F11" s="997"/>
      <c r="G11" s="997"/>
      <c r="H11" s="998"/>
    </row>
    <row r="12" spans="1:13">
      <c r="A12" s="819">
        <v>10</v>
      </c>
      <c r="B12" s="819"/>
      <c r="C12" s="997"/>
      <c r="D12" s="997"/>
      <c r="E12" s="997"/>
      <c r="F12" s="997"/>
      <c r="G12" s="997"/>
      <c r="H12" s="998"/>
    </row>
    <row r="13" spans="1:13">
      <c r="A13" s="819">
        <v>11</v>
      </c>
      <c r="B13" s="819"/>
      <c r="C13" s="997"/>
      <c r="D13" s="997"/>
      <c r="E13" s="997"/>
      <c r="F13" s="997"/>
      <c r="G13" s="997"/>
      <c r="H13" s="998"/>
    </row>
    <row r="14" spans="1:13">
      <c r="A14" s="819">
        <v>12</v>
      </c>
      <c r="B14" s="819"/>
      <c r="C14" s="997"/>
      <c r="D14" s="997"/>
      <c r="E14" s="997"/>
      <c r="F14" s="997"/>
      <c r="G14" s="997"/>
      <c r="H14" s="998"/>
    </row>
    <row r="15" spans="1:13">
      <c r="A15" s="819">
        <v>13</v>
      </c>
      <c r="B15" s="819"/>
      <c r="C15" s="1133"/>
      <c r="D15" s="997"/>
      <c r="E15" s="997"/>
      <c r="F15" s="997"/>
      <c r="G15" s="997"/>
      <c r="H15" s="998"/>
    </row>
    <row r="16" spans="1:13">
      <c r="A16" s="819">
        <v>14</v>
      </c>
      <c r="B16" s="819"/>
      <c r="C16" s="997"/>
      <c r="D16" s="997"/>
      <c r="E16" s="997"/>
      <c r="F16" s="997"/>
      <c r="G16" s="997"/>
      <c r="H16" s="998"/>
    </row>
    <row r="17" spans="1:8">
      <c r="A17" s="819">
        <v>15</v>
      </c>
      <c r="B17" s="819"/>
      <c r="C17" s="997"/>
      <c r="D17" s="997"/>
      <c r="E17" s="997"/>
      <c r="F17" s="997"/>
      <c r="G17" s="997"/>
      <c r="H17" s="998"/>
    </row>
    <row r="18" spans="1:8">
      <c r="A18" s="819">
        <v>16</v>
      </c>
      <c r="B18" s="819"/>
      <c r="C18" s="997"/>
      <c r="D18" s="997"/>
      <c r="E18" s="997"/>
      <c r="F18" s="997"/>
      <c r="G18" s="997"/>
      <c r="H18" s="998"/>
    </row>
    <row r="19" spans="1:8">
      <c r="A19" s="819">
        <v>17</v>
      </c>
      <c r="B19" s="819"/>
      <c r="C19" s="997"/>
      <c r="D19" s="997"/>
      <c r="E19" s="997"/>
      <c r="F19" s="997"/>
      <c r="G19" s="997"/>
      <c r="H19" s="998"/>
    </row>
    <row r="20" spans="1:8">
      <c r="A20" s="819">
        <v>18</v>
      </c>
      <c r="B20" s="819"/>
      <c r="C20" s="997"/>
      <c r="D20" s="997"/>
      <c r="E20" s="997"/>
      <c r="F20" s="997"/>
      <c r="G20" s="997"/>
      <c r="H20" s="998"/>
    </row>
    <row r="21" spans="1:8">
      <c r="A21" s="819">
        <v>19</v>
      </c>
      <c r="B21" s="819"/>
      <c r="C21" s="997"/>
      <c r="D21" s="997"/>
      <c r="E21" s="997"/>
      <c r="F21" s="997"/>
      <c r="G21" s="997"/>
      <c r="H21" s="998"/>
    </row>
    <row r="22" spans="1:8">
      <c r="A22" s="819">
        <v>20</v>
      </c>
      <c r="B22" s="819"/>
      <c r="C22" s="997"/>
      <c r="D22" s="997"/>
      <c r="E22" s="997"/>
      <c r="F22" s="997"/>
      <c r="G22" s="997"/>
      <c r="H22" s="998"/>
    </row>
    <row r="23" spans="1:8">
      <c r="A23" s="819">
        <v>21</v>
      </c>
      <c r="B23" s="819"/>
      <c r="C23" s="997"/>
      <c r="D23" s="997"/>
      <c r="E23" s="997"/>
      <c r="F23" s="997"/>
      <c r="G23" s="997"/>
      <c r="H23" s="998"/>
    </row>
    <row r="24" spans="1:8">
      <c r="A24" s="819">
        <v>22</v>
      </c>
      <c r="B24" s="819"/>
      <c r="C24" s="997"/>
      <c r="D24" s="997"/>
      <c r="E24" s="997"/>
      <c r="F24" s="997"/>
      <c r="G24" s="997"/>
      <c r="H24" s="998"/>
    </row>
    <row r="25" spans="1:8">
      <c r="A25" s="819">
        <v>23</v>
      </c>
      <c r="B25" s="819"/>
      <c r="C25" s="997"/>
      <c r="D25" s="997"/>
      <c r="E25" s="997"/>
      <c r="F25" s="997"/>
      <c r="G25" s="997"/>
      <c r="H25" s="998"/>
    </row>
    <row r="26" spans="1:8">
      <c r="A26" s="819">
        <v>24</v>
      </c>
      <c r="B26" s="819"/>
      <c r="C26" s="997"/>
      <c r="D26" s="997"/>
      <c r="E26" s="997"/>
      <c r="F26" s="997"/>
      <c r="G26" s="997"/>
      <c r="H26" s="998"/>
    </row>
    <row r="27" spans="1:8">
      <c r="A27" s="819">
        <v>25</v>
      </c>
      <c r="B27" s="819"/>
      <c r="C27" s="997"/>
      <c r="D27" s="997"/>
      <c r="E27" s="997"/>
      <c r="F27" s="997"/>
      <c r="G27" s="997"/>
      <c r="H27" s="998"/>
    </row>
    <row r="28" spans="1:8">
      <c r="A28" s="819">
        <v>26</v>
      </c>
      <c r="B28" s="819"/>
      <c r="C28" s="997"/>
      <c r="D28" s="997"/>
      <c r="E28" s="997"/>
      <c r="F28" s="997"/>
      <c r="G28" s="997"/>
      <c r="H28" s="998"/>
    </row>
    <row r="29" spans="1:8">
      <c r="B29" s="2301" t="s">
        <v>801</v>
      </c>
      <c r="C29" s="2301"/>
      <c r="D29" s="2301"/>
      <c r="E29" s="2301"/>
      <c r="F29" s="1007">
        <f>SUM(F3:F28)</f>
        <v>0</v>
      </c>
      <c r="G29" s="1007">
        <f>SUM(G3:G28)</f>
        <v>0</v>
      </c>
      <c r="H29" s="1008"/>
    </row>
    <row r="31" spans="1:8" ht="17.649999999999999" thickBot="1"/>
    <row r="32" spans="1:8" ht="17.649999999999999" thickBot="1">
      <c r="C32" s="2302" t="s">
        <v>1052</v>
      </c>
      <c r="D32" s="2303"/>
      <c r="E32" s="2304"/>
      <c r="F32" s="1440" t="s">
        <v>1056</v>
      </c>
      <c r="G32" s="1440" t="s">
        <v>1057</v>
      </c>
    </row>
    <row r="33" spans="3:7">
      <c r="C33" s="1153" t="s">
        <v>1058</v>
      </c>
      <c r="D33" s="1154"/>
      <c r="E33" s="1155" t="s">
        <v>1058</v>
      </c>
      <c r="F33" s="1161"/>
      <c r="G33" s="1161"/>
    </row>
    <row r="34" spans="3:7">
      <c r="C34" s="1156"/>
      <c r="E34" s="1157"/>
      <c r="F34" s="1162"/>
      <c r="G34" s="1163"/>
    </row>
    <row r="35" spans="3:7">
      <c r="C35" s="1156"/>
      <c r="E35" s="1157"/>
      <c r="F35" s="1163"/>
      <c r="G35" s="1162"/>
    </row>
    <row r="36" spans="3:7" ht="17.649999999999999" thickBot="1">
      <c r="C36" s="1158"/>
      <c r="D36" s="1159"/>
      <c r="E36" s="1160"/>
      <c r="F36" s="1164"/>
      <c r="G36" s="1165"/>
    </row>
  </sheetData>
  <mergeCells count="3">
    <mergeCell ref="F1:G1"/>
    <mergeCell ref="B29:E29"/>
    <mergeCell ref="C32:E3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2:J50"/>
  <sheetViews>
    <sheetView showGridLines="0" workbookViewId="0">
      <selection activeCell="E16" sqref="E16"/>
    </sheetView>
  </sheetViews>
  <sheetFormatPr baseColWidth="10" defaultColWidth="11.46484375" defaultRowHeight="13.15"/>
  <cols>
    <col min="1" max="1" width="4" style="1" customWidth="1"/>
    <col min="2" max="2" width="5.796875" style="1" customWidth="1"/>
    <col min="3" max="3" width="38.796875" style="1" customWidth="1"/>
    <col min="4" max="5" width="13.796875" style="1" customWidth="1"/>
    <col min="6" max="6" width="13" style="1" customWidth="1"/>
    <col min="7" max="7" width="11.53125" style="1" customWidth="1"/>
    <col min="8" max="8" width="12" style="1" customWidth="1"/>
    <col min="9" max="9" width="11.53125" style="1" customWidth="1"/>
    <col min="10" max="16384" width="11.46484375" style="1"/>
  </cols>
  <sheetData>
    <row r="2" spans="2:7">
      <c r="B2" s="116"/>
      <c r="C2" s="117"/>
      <c r="D2" s="117"/>
      <c r="E2" s="117"/>
      <c r="F2" s="117"/>
      <c r="G2" s="118"/>
    </row>
    <row r="3" spans="2:7">
      <c r="B3" s="119"/>
      <c r="C3" s="103" t="s">
        <v>607</v>
      </c>
      <c r="D3" s="102"/>
      <c r="E3" s="102"/>
      <c r="F3" s="102"/>
      <c r="G3" s="120"/>
    </row>
    <row r="4" spans="2:7">
      <c r="B4" s="119"/>
      <c r="C4" s="102"/>
      <c r="D4" s="102"/>
      <c r="E4" s="102"/>
      <c r="F4" s="102"/>
      <c r="G4" s="120"/>
    </row>
    <row r="5" spans="2:7">
      <c r="B5" s="119"/>
      <c r="C5" s="103" t="s">
        <v>104</v>
      </c>
      <c r="D5" s="103" t="s">
        <v>605</v>
      </c>
      <c r="E5" s="2305" t="s">
        <v>606</v>
      </c>
      <c r="F5" s="2305"/>
      <c r="G5" s="120"/>
    </row>
    <row r="6" spans="2:7">
      <c r="B6" s="119"/>
      <c r="C6" s="102" t="s">
        <v>105</v>
      </c>
      <c r="D6" s="121">
        <v>45657</v>
      </c>
      <c r="E6" s="122">
        <f>+E8</f>
        <v>45291</v>
      </c>
      <c r="F6" s="122">
        <v>44927</v>
      </c>
      <c r="G6" s="120"/>
    </row>
    <row r="7" spans="2:7">
      <c r="B7" s="119"/>
      <c r="C7" s="102"/>
      <c r="D7" s="102"/>
      <c r="E7" s="102"/>
      <c r="F7" s="102"/>
      <c r="G7" s="120"/>
    </row>
    <row r="8" spans="2:7">
      <c r="B8" s="119"/>
      <c r="C8" s="102" t="s">
        <v>106</v>
      </c>
      <c r="D8" s="121">
        <f>+G40</f>
        <v>45657</v>
      </c>
      <c r="E8" s="122">
        <f>+H40</f>
        <v>45291</v>
      </c>
      <c r="F8" s="102"/>
      <c r="G8" s="120"/>
    </row>
    <row r="9" spans="2:7">
      <c r="B9" s="119"/>
      <c r="C9" s="102" t="s">
        <v>107</v>
      </c>
      <c r="D9" s="122"/>
      <c r="E9" s="122"/>
      <c r="F9" s="102"/>
      <c r="G9" s="120"/>
    </row>
    <row r="10" spans="2:7">
      <c r="B10" s="119"/>
      <c r="C10" s="102"/>
      <c r="D10" s="102"/>
      <c r="E10" s="102"/>
      <c r="F10" s="102"/>
      <c r="G10" s="120"/>
    </row>
    <row r="11" spans="2:7">
      <c r="B11" s="119"/>
      <c r="C11" s="123" t="s">
        <v>207</v>
      </c>
      <c r="D11" s="123" t="s">
        <v>432</v>
      </c>
      <c r="E11" s="123" t="s">
        <v>433</v>
      </c>
      <c r="F11" s="102"/>
      <c r="G11" s="120"/>
    </row>
    <row r="12" spans="2:7">
      <c r="B12" s="119"/>
      <c r="C12" s="124" t="s">
        <v>934</v>
      </c>
      <c r="D12" s="102" t="str">
        <f>+VLOOKUP(C12,$C$27:$E$47,2,0)</f>
        <v>CONTACH</v>
      </c>
      <c r="E12" s="102" t="str">
        <f>+VLOOKUP(C12,$C$27:$E$47,3,0)</f>
        <v>77.777.777-7</v>
      </c>
      <c r="F12" s="102"/>
      <c r="G12" s="120"/>
    </row>
    <row r="13" spans="2:7">
      <c r="B13" s="119"/>
      <c r="C13" s="102"/>
      <c r="D13" s="102"/>
      <c r="E13" s="102"/>
      <c r="F13" s="102"/>
      <c r="G13" s="120"/>
    </row>
    <row r="14" spans="2:7">
      <c r="B14" s="119"/>
      <c r="C14" s="102"/>
      <c r="D14" s="102"/>
      <c r="E14" s="102"/>
      <c r="F14" s="102"/>
      <c r="G14" s="120"/>
    </row>
    <row r="15" spans="2:7">
      <c r="B15" s="119"/>
      <c r="C15" s="102"/>
      <c r="D15" s="102"/>
      <c r="E15" s="102"/>
      <c r="F15" s="102"/>
      <c r="G15" s="120"/>
    </row>
    <row r="16" spans="2:7">
      <c r="B16" s="119"/>
      <c r="C16" s="114"/>
      <c r="D16" s="102"/>
      <c r="E16" s="102"/>
      <c r="F16" s="102"/>
      <c r="G16" s="120"/>
    </row>
    <row r="17" spans="2:9">
      <c r="B17" s="119"/>
      <c r="C17" s="115"/>
      <c r="D17" s="102"/>
      <c r="E17" s="102"/>
      <c r="F17" s="102"/>
      <c r="G17" s="120"/>
    </row>
    <row r="18" spans="2:9">
      <c r="B18" s="119"/>
      <c r="C18" s="102"/>
      <c r="D18" s="102"/>
      <c r="E18" s="102"/>
      <c r="F18" s="102"/>
      <c r="G18" s="120"/>
    </row>
    <row r="19" spans="2:9">
      <c r="B19" s="119"/>
      <c r="C19" s="102"/>
      <c r="D19" s="102"/>
      <c r="E19" s="102"/>
      <c r="F19" s="102"/>
      <c r="G19" s="120"/>
    </row>
    <row r="20" spans="2:9">
      <c r="B20" s="119"/>
      <c r="C20" s="102"/>
      <c r="D20" s="102"/>
      <c r="E20" s="102"/>
      <c r="F20" s="102"/>
      <c r="G20" s="120"/>
    </row>
    <row r="21" spans="2:9" s="59" customFormat="1">
      <c r="B21" s="557"/>
      <c r="C21" s="558"/>
      <c r="D21" s="558"/>
      <c r="E21" s="558"/>
      <c r="F21" s="558"/>
      <c r="G21" s="559"/>
    </row>
    <row r="22" spans="2:9" s="59" customFormat="1">
      <c r="B22" s="557"/>
      <c r="C22" s="558"/>
      <c r="D22" s="558"/>
      <c r="E22" s="558"/>
      <c r="F22" s="558"/>
      <c r="G22" s="559"/>
    </row>
    <row r="23" spans="2:9" s="59" customFormat="1">
      <c r="B23" s="557"/>
      <c r="C23" s="558"/>
      <c r="D23" s="558"/>
      <c r="E23" s="558"/>
      <c r="F23" s="558"/>
      <c r="G23" s="559"/>
    </row>
    <row r="24" spans="2:9" s="59" customFormat="1">
      <c r="B24" s="557"/>
      <c r="C24" s="558"/>
      <c r="D24" s="558"/>
      <c r="E24" s="558"/>
      <c r="F24" s="558"/>
      <c r="G24" s="559"/>
    </row>
    <row r="25" spans="2:9" s="59" customFormat="1">
      <c r="B25" s="557"/>
      <c r="C25" s="558"/>
      <c r="D25" s="558"/>
      <c r="E25" s="558"/>
      <c r="F25" s="558"/>
      <c r="G25" s="559"/>
    </row>
    <row r="26" spans="2:9" s="59" customFormat="1">
      <c r="B26" s="560"/>
      <c r="C26" s="561"/>
      <c r="D26" s="561"/>
      <c r="E26" s="561"/>
      <c r="F26" s="561"/>
      <c r="G26" s="562"/>
    </row>
    <row r="27" spans="2:9" s="59" customFormat="1">
      <c r="C27" s="563" t="s">
        <v>207</v>
      </c>
      <c r="D27" s="563" t="s">
        <v>432</v>
      </c>
      <c r="E27" s="563" t="s">
        <v>433</v>
      </c>
    </row>
    <row r="28" spans="2:9" s="59" customFormat="1">
      <c r="C28" s="564" t="str">
        <f>+'Bce Clasificado 31.12.2024'!B1</f>
        <v>Colegio de Contadores de Chile A.G.</v>
      </c>
      <c r="D28" s="565" t="s">
        <v>1282</v>
      </c>
      <c r="E28" s="566" t="s">
        <v>1283</v>
      </c>
      <c r="G28" s="567"/>
      <c r="H28" s="567"/>
      <c r="I28" s="567"/>
    </row>
    <row r="29" spans="2:9" s="59" customFormat="1">
      <c r="C29" s="564"/>
      <c r="D29" s="565"/>
      <c r="E29" s="566"/>
      <c r="G29" s="567"/>
      <c r="H29" s="567"/>
      <c r="I29" s="567"/>
    </row>
    <row r="30" spans="2:9" s="59" customFormat="1">
      <c r="C30" s="564"/>
      <c r="D30" s="565"/>
      <c r="E30" s="566"/>
      <c r="G30" s="567">
        <v>1</v>
      </c>
      <c r="H30" s="567">
        <v>2</v>
      </c>
      <c r="I30" s="567"/>
    </row>
    <row r="31" spans="2:9" s="59" customFormat="1">
      <c r="C31" s="564"/>
      <c r="D31" s="565"/>
      <c r="E31" s="566"/>
      <c r="G31" s="568">
        <v>44286</v>
      </c>
      <c r="H31" s="568">
        <v>43921</v>
      </c>
      <c r="I31" s="568"/>
    </row>
    <row r="32" spans="2:9" s="59" customFormat="1">
      <c r="C32" s="564"/>
      <c r="D32" s="565"/>
      <c r="E32" s="566"/>
      <c r="G32" s="568">
        <v>44377</v>
      </c>
      <c r="H32" s="568">
        <v>44012</v>
      </c>
      <c r="I32" s="568"/>
    </row>
    <row r="33" spans="3:10" s="59" customFormat="1">
      <c r="C33" s="567"/>
      <c r="D33" s="565"/>
      <c r="E33" s="565"/>
      <c r="G33" s="568">
        <v>44469</v>
      </c>
      <c r="H33" s="568">
        <v>44104</v>
      </c>
      <c r="I33" s="568"/>
    </row>
    <row r="34" spans="3:10" s="59" customFormat="1">
      <c r="C34" s="564"/>
      <c r="D34" s="565"/>
      <c r="E34" s="566"/>
      <c r="G34" s="568">
        <v>45657</v>
      </c>
      <c r="H34" s="568">
        <v>44561</v>
      </c>
      <c r="I34" s="568"/>
    </row>
    <row r="35" spans="3:10" s="59" customFormat="1">
      <c r="C35" s="564"/>
      <c r="D35" s="565"/>
      <c r="E35" s="566"/>
      <c r="G35" s="567"/>
      <c r="H35" s="567"/>
      <c r="I35" s="567"/>
    </row>
    <row r="36" spans="3:10" s="59" customFormat="1">
      <c r="C36" s="564"/>
      <c r="D36" s="565"/>
      <c r="E36" s="566"/>
      <c r="G36" s="567">
        <v>1</v>
      </c>
      <c r="H36" s="567">
        <v>2</v>
      </c>
      <c r="I36" s="567"/>
    </row>
    <row r="37" spans="3:10" s="59" customFormat="1">
      <c r="C37" s="564"/>
      <c r="D37" s="565"/>
      <c r="E37" s="566"/>
      <c r="G37" s="568">
        <v>44286</v>
      </c>
      <c r="H37" s="568">
        <v>43921</v>
      </c>
      <c r="I37" s="567"/>
    </row>
    <row r="38" spans="3:10" s="59" customFormat="1">
      <c r="C38" s="564"/>
      <c r="D38" s="565"/>
      <c r="E38" s="566"/>
      <c r="G38" s="568">
        <v>44377</v>
      </c>
      <c r="H38" s="568">
        <v>44012</v>
      </c>
      <c r="I38" s="567"/>
    </row>
    <row r="39" spans="3:10" s="59" customFormat="1">
      <c r="C39" s="564"/>
      <c r="D39" s="565"/>
      <c r="E39" s="566"/>
      <c r="G39" s="568">
        <v>44469</v>
      </c>
      <c r="H39" s="568">
        <v>44104</v>
      </c>
      <c r="I39" s="567"/>
    </row>
    <row r="40" spans="3:10" s="59" customFormat="1">
      <c r="C40" s="564"/>
      <c r="D40" s="565"/>
      <c r="E40" s="566"/>
      <c r="G40" s="568">
        <v>45657</v>
      </c>
      <c r="H40" s="568">
        <v>45291</v>
      </c>
      <c r="I40" s="567"/>
    </row>
    <row r="41" spans="3:10" s="59" customFormat="1">
      <c r="C41" s="564"/>
      <c r="D41" s="565"/>
      <c r="E41" s="566"/>
    </row>
    <row r="42" spans="3:10" s="59" customFormat="1">
      <c r="C42" s="564"/>
      <c r="D42" s="565"/>
      <c r="E42" s="566"/>
    </row>
    <row r="43" spans="3:10" s="59" customFormat="1">
      <c r="C43" s="564"/>
      <c r="D43" s="565"/>
      <c r="E43" s="566"/>
    </row>
    <row r="44" spans="3:10">
      <c r="C44" s="109" t="s">
        <v>425</v>
      </c>
      <c r="D44" s="110" t="s">
        <v>421</v>
      </c>
      <c r="E44" s="111" t="s">
        <v>424</v>
      </c>
      <c r="F44" s="108"/>
      <c r="G44" s="108"/>
      <c r="H44" s="108"/>
      <c r="I44" s="108"/>
      <c r="J44" s="108"/>
    </row>
    <row r="45" spans="3:10">
      <c r="C45" s="109" t="s">
        <v>427</v>
      </c>
      <c r="D45" s="110" t="s">
        <v>422</v>
      </c>
      <c r="E45" s="111" t="s">
        <v>426</v>
      </c>
      <c r="F45" s="108"/>
      <c r="G45" s="108"/>
      <c r="H45" s="108"/>
      <c r="I45" s="108"/>
      <c r="J45" s="108"/>
    </row>
    <row r="46" spans="3:10">
      <c r="C46" s="109" t="s">
        <v>429</v>
      </c>
      <c r="D46" s="110" t="s">
        <v>423</v>
      </c>
      <c r="E46" s="111" t="s">
        <v>428</v>
      </c>
      <c r="F46" s="108"/>
      <c r="G46" s="108"/>
      <c r="H46" s="108"/>
      <c r="I46" s="108"/>
      <c r="J46" s="108"/>
    </row>
    <row r="47" spans="3:10">
      <c r="C47" s="112" t="s">
        <v>430</v>
      </c>
      <c r="D47" s="110" t="s">
        <v>420</v>
      </c>
      <c r="E47" s="113" t="s">
        <v>431</v>
      </c>
      <c r="F47" s="108"/>
      <c r="G47" s="108"/>
      <c r="H47" s="108"/>
      <c r="I47" s="108"/>
      <c r="J47" s="108"/>
    </row>
    <row r="48" spans="3:10">
      <c r="C48" s="108"/>
      <c r="D48" s="108"/>
      <c r="E48" s="108"/>
      <c r="F48" s="108"/>
      <c r="G48" s="108"/>
      <c r="H48" s="108"/>
      <c r="I48" s="108"/>
      <c r="J48" s="108"/>
    </row>
    <row r="49" spans="3:10">
      <c r="C49" s="108"/>
      <c r="D49" s="108"/>
      <c r="E49" s="108"/>
      <c r="F49" s="108"/>
      <c r="G49" s="108"/>
      <c r="H49" s="108"/>
      <c r="I49" s="108"/>
      <c r="J49" s="108"/>
    </row>
    <row r="50" spans="3:10">
      <c r="C50" s="108"/>
      <c r="D50" s="108"/>
      <c r="E50" s="108"/>
      <c r="F50" s="108"/>
      <c r="G50" s="108"/>
      <c r="H50" s="108"/>
      <c r="I50" s="108"/>
      <c r="J50" s="108"/>
    </row>
  </sheetData>
  <mergeCells count="1">
    <mergeCell ref="E5:F5"/>
  </mergeCells>
  <dataValidations count="2">
    <dataValidation type="list" allowBlank="1" showInputMessage="1" showErrorMessage="1" sqref="C12" xr:uid="{00000000-0002-0000-0000-000000000000}">
      <formula1>$C$27:$C$47</formula1>
    </dataValidation>
    <dataValidation type="list" allowBlank="1" showInputMessage="1" showErrorMessage="1" sqref="D6" xr:uid="{00000000-0002-0000-0000-000001000000}">
      <formula1>$G$31:$G$34</formula1>
    </dataValidation>
  </dataValidations>
  <pageMargins left="0.7" right="0.7" top="0.75" bottom="0.75" header="0.3" footer="0.3"/>
  <pageSetup paperSize="9" scale="86" orientation="portrait" r:id="rId1"/>
  <colBreaks count="1" manualBreakCount="1">
    <brk id="7" max="1048575" man="1"/>
  </col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39997558519241921"/>
    <pageSetUpPr fitToPage="1"/>
  </sheetPr>
  <dimension ref="A1:S114"/>
  <sheetViews>
    <sheetView showGridLines="0" workbookViewId="0">
      <selection activeCell="C19" sqref="C19"/>
    </sheetView>
  </sheetViews>
  <sheetFormatPr baseColWidth="10" defaultColWidth="11.46484375" defaultRowHeight="13.15"/>
  <cols>
    <col min="1" max="1" width="2.796875" style="1" customWidth="1"/>
    <col min="2" max="2" width="8.46484375" style="1" customWidth="1"/>
    <col min="3" max="3" width="50.6640625" style="1" customWidth="1"/>
    <col min="4" max="4" width="1.46484375" style="1" customWidth="1"/>
    <col min="5" max="5" width="8.53125" style="1" customWidth="1"/>
    <col min="6" max="6" width="1.46484375" style="1" customWidth="1"/>
    <col min="7" max="9" width="14" style="1" bestFit="1" customWidth="1"/>
    <col min="10" max="10" width="6.796875" style="1" customWidth="1"/>
    <col min="11" max="12" width="11.53125" style="151" bestFit="1" customWidth="1"/>
    <col min="13" max="16384" width="11.46484375" style="1"/>
  </cols>
  <sheetData>
    <row r="1" spans="1:19" s="102" customFormat="1">
      <c r="K1" s="135"/>
      <c r="L1" s="135"/>
    </row>
    <row r="2" spans="1:19" ht="15.75">
      <c r="B2" s="102"/>
      <c r="C2" s="136" t="str">
        <f>+Datos!C12</f>
        <v>Colegio de Contadores de Chile A.G.</v>
      </c>
      <c r="D2" s="102"/>
      <c r="E2" s="102"/>
      <c r="F2" s="102"/>
      <c r="G2" s="102"/>
      <c r="H2" s="102"/>
      <c r="I2" s="102"/>
      <c r="J2" s="102"/>
      <c r="K2" s="135"/>
      <c r="L2" s="135"/>
      <c r="M2" s="102"/>
      <c r="N2" s="102"/>
      <c r="O2" s="102"/>
      <c r="P2" s="102"/>
      <c r="Q2" s="102"/>
      <c r="R2" s="102"/>
      <c r="S2" s="102"/>
    </row>
    <row r="3" spans="1:19" ht="14.65" thickBot="1">
      <c r="A3" s="137"/>
      <c r="B3" s="137"/>
      <c r="C3" s="102"/>
      <c r="D3" s="102"/>
      <c r="E3" s="102"/>
      <c r="F3" s="102"/>
      <c r="G3" s="102"/>
      <c r="H3" s="102"/>
      <c r="I3" s="102"/>
      <c r="J3" s="102"/>
      <c r="K3" s="135"/>
      <c r="L3" s="135"/>
      <c r="M3" s="102"/>
      <c r="N3" s="102"/>
      <c r="O3" s="102"/>
      <c r="P3" s="102"/>
      <c r="Q3" s="102"/>
      <c r="R3" s="102"/>
      <c r="S3" s="102"/>
    </row>
    <row r="4" spans="1:19">
      <c r="A4" s="102"/>
      <c r="B4" s="2306" t="s">
        <v>419</v>
      </c>
      <c r="C4" s="1564" t="s">
        <v>19</v>
      </c>
      <c r="D4" s="1564"/>
      <c r="E4" s="1564"/>
      <c r="F4" s="1564"/>
      <c r="G4" s="1565">
        <f>+Datos!D6</f>
        <v>45657</v>
      </c>
      <c r="H4" s="1565">
        <f>+Datos!E6</f>
        <v>45291</v>
      </c>
      <c r="I4" s="1566">
        <f>+Datos!F6</f>
        <v>44927</v>
      </c>
      <c r="J4" s="102"/>
      <c r="K4" s="138"/>
      <c r="L4" s="135" t="s">
        <v>434</v>
      </c>
      <c r="M4" s="102"/>
      <c r="N4" s="102"/>
      <c r="O4" s="102"/>
      <c r="P4" s="102"/>
      <c r="Q4" s="102"/>
      <c r="R4" s="102"/>
      <c r="S4" s="102"/>
    </row>
    <row r="5" spans="1:19">
      <c r="A5" s="102"/>
      <c r="B5" s="2307"/>
      <c r="C5" s="1220"/>
      <c r="D5" s="1220"/>
      <c r="E5" s="1221" t="s">
        <v>21</v>
      </c>
      <c r="F5" s="1221"/>
      <c r="G5" s="1222" t="s">
        <v>20</v>
      </c>
      <c r="H5" s="1222" t="s">
        <v>20</v>
      </c>
      <c r="I5" s="1567" t="s">
        <v>20</v>
      </c>
      <c r="J5" s="102"/>
      <c r="K5" s="139" t="s">
        <v>616</v>
      </c>
      <c r="L5" s="135"/>
      <c r="M5" s="102"/>
      <c r="N5" s="102"/>
      <c r="O5" s="102"/>
      <c r="P5" s="102"/>
      <c r="Q5" s="102"/>
      <c r="R5" s="102"/>
      <c r="S5" s="102"/>
    </row>
    <row r="6" spans="1:19">
      <c r="A6" s="102"/>
      <c r="B6" s="1568"/>
      <c r="C6" s="103" t="s">
        <v>58</v>
      </c>
      <c r="D6" s="102"/>
      <c r="E6" s="129"/>
      <c r="F6" s="129"/>
      <c r="G6" s="141"/>
      <c r="H6" s="141"/>
      <c r="I6" s="1569"/>
      <c r="J6" s="102"/>
      <c r="K6" s="135"/>
      <c r="L6" s="135"/>
      <c r="M6" s="102"/>
      <c r="N6" s="102"/>
      <c r="O6" s="102"/>
      <c r="P6" s="102"/>
      <c r="Q6" s="102"/>
      <c r="R6" s="102"/>
      <c r="S6" s="102"/>
    </row>
    <row r="7" spans="1:19">
      <c r="A7" s="102"/>
      <c r="B7" s="1568"/>
      <c r="C7" s="103" t="s">
        <v>0</v>
      </c>
      <c r="D7" s="103"/>
      <c r="E7" s="103"/>
      <c r="F7" s="103"/>
      <c r="G7" s="140"/>
      <c r="H7" s="140"/>
      <c r="I7" s="1570"/>
      <c r="J7" s="102"/>
      <c r="K7" s="135"/>
      <c r="L7" s="135"/>
      <c r="M7" s="102"/>
      <c r="N7" s="102"/>
      <c r="O7" s="102"/>
      <c r="P7" s="102"/>
      <c r="Q7" s="102"/>
      <c r="R7" s="102"/>
      <c r="S7" s="102"/>
    </row>
    <row r="8" spans="1:19">
      <c r="A8" s="102"/>
      <c r="B8" s="1568"/>
      <c r="C8" s="103"/>
      <c r="D8" s="103"/>
      <c r="E8" s="103"/>
      <c r="F8" s="103"/>
      <c r="G8" s="292"/>
      <c r="H8" s="292"/>
      <c r="I8" s="1571"/>
      <c r="J8" s="142"/>
      <c r="K8" s="135"/>
      <c r="L8" s="135"/>
      <c r="M8" s="102"/>
      <c r="N8" s="102"/>
      <c r="O8" s="102"/>
      <c r="P8" s="102"/>
      <c r="Q8" s="102"/>
      <c r="R8" s="102"/>
      <c r="S8" s="102"/>
    </row>
    <row r="9" spans="1:19">
      <c r="A9" s="102"/>
      <c r="B9" s="1568">
        <v>11010</v>
      </c>
      <c r="C9" s="102" t="s">
        <v>12</v>
      </c>
      <c r="D9" s="102"/>
      <c r="E9" s="1572">
        <v>8</v>
      </c>
      <c r="F9" s="102"/>
      <c r="G9" s="292"/>
      <c r="H9" s="292"/>
      <c r="I9" s="1571">
        <f>+'Bce Clasificado 31.12.2024'!F22/1000</f>
        <v>307800</v>
      </c>
      <c r="J9" s="142"/>
      <c r="K9" s="135">
        <f>IF((+G9-'Nº8a efec y eq'!D21)=0,0, "VERIFICAR")</f>
        <v>0</v>
      </c>
      <c r="L9" s="135">
        <f>IF((+H9-'Nº8a efec y eq'!E21)=0,0, "VERIFICAR")</f>
        <v>0</v>
      </c>
      <c r="M9" s="102"/>
      <c r="N9" s="102"/>
      <c r="O9" s="102"/>
      <c r="P9" s="102"/>
      <c r="Q9" s="102"/>
      <c r="R9" s="102"/>
      <c r="S9" s="102"/>
    </row>
    <row r="10" spans="1:19">
      <c r="A10" s="102"/>
      <c r="B10" s="1568">
        <v>11050</v>
      </c>
      <c r="C10" s="102" t="s">
        <v>13</v>
      </c>
      <c r="D10" s="102"/>
      <c r="E10" s="1572">
        <v>13</v>
      </c>
      <c r="F10" s="102"/>
      <c r="G10" s="292"/>
      <c r="H10" s="292"/>
      <c r="I10" s="1571"/>
      <c r="J10" s="142"/>
      <c r="K10" s="135"/>
      <c r="L10" s="135"/>
      <c r="M10" s="102"/>
      <c r="N10" s="102"/>
      <c r="O10" s="102"/>
      <c r="P10" s="102"/>
      <c r="Q10" s="102"/>
      <c r="R10" s="102"/>
      <c r="S10" s="102"/>
    </row>
    <row r="11" spans="1:19">
      <c r="B11" s="1573">
        <v>11060</v>
      </c>
      <c r="C11" s="1" t="s">
        <v>14</v>
      </c>
      <c r="E11" s="1574">
        <v>21</v>
      </c>
      <c r="G11" s="493"/>
      <c r="H11" s="493"/>
      <c r="I11" s="1575"/>
      <c r="J11" s="150"/>
      <c r="K11" s="151">
        <f>IF((+G11-'Nº21 Ot Act No Fin'!C19)=0,0, "VERIFICAR")</f>
        <v>0</v>
      </c>
      <c r="L11" s="151">
        <f>IF((+H11-'Nº21 Ot Act No Fin'!E19)=0,0, "VERIFICAR")</f>
        <v>0</v>
      </c>
    </row>
    <row r="12" spans="1:19">
      <c r="A12" s="102"/>
      <c r="B12" s="1568">
        <v>11070</v>
      </c>
      <c r="C12" s="102" t="s">
        <v>15</v>
      </c>
      <c r="D12" s="102"/>
      <c r="E12" s="1572">
        <v>12</v>
      </c>
      <c r="F12" s="102"/>
      <c r="G12" s="292"/>
      <c r="H12" s="292"/>
      <c r="I12" s="1571"/>
      <c r="J12" s="142"/>
      <c r="K12" s="135"/>
      <c r="L12" s="135"/>
      <c r="M12" s="102"/>
      <c r="N12" s="102"/>
      <c r="O12" s="102"/>
      <c r="P12" s="102"/>
      <c r="Q12" s="102"/>
      <c r="R12" s="102"/>
      <c r="S12" s="102"/>
    </row>
    <row r="13" spans="1:19">
      <c r="A13" s="102"/>
      <c r="B13" s="1568">
        <v>11080</v>
      </c>
      <c r="C13" s="102" t="s">
        <v>16</v>
      </c>
      <c r="D13" s="102"/>
      <c r="E13" s="1572">
        <v>16</v>
      </c>
      <c r="F13" s="102"/>
      <c r="G13" s="292"/>
      <c r="H13" s="292"/>
      <c r="I13" s="1571"/>
      <c r="J13" s="142"/>
      <c r="K13" s="135">
        <f>IF((+G13-'Nº16a ctas EERR'!H20)=0,0, "VERIFICAR")</f>
        <v>0</v>
      </c>
      <c r="L13" s="135">
        <f>IF((+H13-'Nº16a ctas EERR'!I20)=0,0, "VERIFICAR")</f>
        <v>0</v>
      </c>
      <c r="M13" s="102"/>
      <c r="N13" s="102"/>
      <c r="O13" s="102"/>
      <c r="P13" s="102"/>
      <c r="Q13" s="102"/>
      <c r="R13" s="102"/>
      <c r="S13" s="102"/>
    </row>
    <row r="14" spans="1:19">
      <c r="A14" s="102"/>
      <c r="B14" s="1568">
        <v>11090</v>
      </c>
      <c r="C14" s="102" t="s">
        <v>17</v>
      </c>
      <c r="D14" s="102"/>
      <c r="E14" s="1572">
        <v>15</v>
      </c>
      <c r="F14" s="102"/>
      <c r="G14" s="292"/>
      <c r="H14" s="292"/>
      <c r="I14" s="1571"/>
      <c r="J14" s="142"/>
      <c r="K14" s="135">
        <f>IF((+G14-'Nº15 Inventario'!C16)=0,0, "VERIFICAR")</f>
        <v>0</v>
      </c>
      <c r="L14" s="135">
        <f>IF((+H14-'Nº15 Inventario'!D16)=0,0, "VERIFICAR")</f>
        <v>0</v>
      </c>
      <c r="M14" s="102"/>
      <c r="N14" s="102"/>
      <c r="O14" s="102"/>
      <c r="P14" s="102"/>
      <c r="Q14" s="102"/>
      <c r="R14" s="102"/>
      <c r="S14" s="102"/>
    </row>
    <row r="15" spans="1:19">
      <c r="A15" s="102"/>
      <c r="B15" s="1568">
        <v>11100</v>
      </c>
      <c r="C15" s="102" t="s">
        <v>1</v>
      </c>
      <c r="D15" s="102"/>
      <c r="E15" s="102"/>
      <c r="F15" s="102"/>
      <c r="G15" s="292"/>
      <c r="H15" s="292"/>
      <c r="I15" s="1571"/>
      <c r="J15" s="142"/>
      <c r="K15" s="135"/>
      <c r="L15" s="135"/>
      <c r="M15" s="102"/>
      <c r="N15" s="102"/>
      <c r="O15" s="102"/>
      <c r="P15" s="102"/>
      <c r="Q15" s="102"/>
      <c r="R15" s="102"/>
      <c r="S15" s="102"/>
    </row>
    <row r="16" spans="1:19" s="2" customFormat="1">
      <c r="A16" s="103"/>
      <c r="B16" s="1568">
        <v>11110</v>
      </c>
      <c r="C16" s="102" t="s">
        <v>18</v>
      </c>
      <c r="D16" s="102"/>
      <c r="E16" s="1572">
        <v>19</v>
      </c>
      <c r="F16" s="102"/>
      <c r="G16" s="294"/>
      <c r="H16" s="294"/>
      <c r="I16" s="1571"/>
      <c r="J16" s="143"/>
      <c r="K16" s="135">
        <f>IF((+G16-'Nº19 Imp cte y dif'!C16)=0,0, "VERIFICAR")</f>
        <v>0</v>
      </c>
      <c r="L16" s="135">
        <f>IF((+H16-'Nº19 Imp cte y dif'!D16)=0,0, "VERIFICAR")</f>
        <v>0</v>
      </c>
      <c r="M16" s="103"/>
      <c r="N16" s="103"/>
      <c r="O16" s="103"/>
      <c r="P16" s="103"/>
      <c r="Q16" s="103"/>
      <c r="R16" s="103"/>
      <c r="S16" s="103"/>
    </row>
    <row r="17" spans="1:19" s="2" customFormat="1" ht="39.4">
      <c r="A17" s="103"/>
      <c r="B17" s="1576"/>
      <c r="C17" s="1223" t="s">
        <v>116</v>
      </c>
      <c r="D17" s="1224"/>
      <c r="E17" s="1224"/>
      <c r="F17" s="1224"/>
      <c r="G17" s="1225">
        <f>+SUM(G9:G16)</f>
        <v>0</v>
      </c>
      <c r="H17" s="1226">
        <f t="shared" ref="H17:I17" si="0">+SUM(H9:H16)</f>
        <v>0</v>
      </c>
      <c r="I17" s="1577">
        <f t="shared" si="0"/>
        <v>307800</v>
      </c>
      <c r="J17" s="143"/>
      <c r="K17" s="145"/>
      <c r="L17" s="145"/>
      <c r="M17" s="103"/>
      <c r="N17" s="103"/>
      <c r="O17" s="103"/>
      <c r="P17" s="103"/>
      <c r="Q17" s="103"/>
      <c r="R17" s="103"/>
      <c r="S17" s="103"/>
    </row>
    <row r="18" spans="1:19">
      <c r="A18" s="102"/>
      <c r="B18" s="1568"/>
      <c r="C18" s="103"/>
      <c r="D18" s="103"/>
      <c r="E18" s="103"/>
      <c r="F18" s="103"/>
      <c r="G18" s="295"/>
      <c r="H18" s="295"/>
      <c r="I18" s="1578"/>
      <c r="J18" s="142"/>
      <c r="K18" s="135"/>
      <c r="L18" s="135"/>
      <c r="M18" s="102"/>
      <c r="N18" s="102"/>
      <c r="O18" s="102"/>
      <c r="P18" s="102"/>
      <c r="Q18" s="102"/>
      <c r="R18" s="102"/>
      <c r="S18" s="102"/>
    </row>
    <row r="19" spans="1:19" ht="26.25">
      <c r="A19" s="102"/>
      <c r="B19" s="1568">
        <v>11210</v>
      </c>
      <c r="C19" s="146" t="s">
        <v>117</v>
      </c>
      <c r="D19" s="102"/>
      <c r="E19" s="102"/>
      <c r="F19" s="102"/>
      <c r="G19" s="296"/>
      <c r="H19" s="296"/>
      <c r="I19" s="1579"/>
      <c r="J19" s="142"/>
      <c r="K19" s="135"/>
      <c r="L19" s="135"/>
      <c r="M19" s="102"/>
      <c r="N19" s="102"/>
      <c r="O19" s="102"/>
      <c r="P19" s="102"/>
      <c r="Q19" s="102"/>
      <c r="R19" s="102"/>
      <c r="S19" s="102"/>
    </row>
    <row r="20" spans="1:19" ht="26.25">
      <c r="A20" s="102"/>
      <c r="B20" s="1568">
        <v>12220</v>
      </c>
      <c r="C20" s="146" t="s">
        <v>118</v>
      </c>
      <c r="D20" s="102"/>
      <c r="E20" s="102"/>
      <c r="F20" s="102"/>
      <c r="G20" s="296"/>
      <c r="H20" s="296"/>
      <c r="I20" s="1579"/>
      <c r="J20" s="142"/>
      <c r="K20" s="135"/>
      <c r="L20" s="135"/>
      <c r="M20" s="102"/>
      <c r="N20" s="102"/>
      <c r="O20" s="102"/>
      <c r="P20" s="102"/>
      <c r="Q20" s="102"/>
      <c r="R20" s="102"/>
      <c r="S20" s="102"/>
    </row>
    <row r="21" spans="1:19" ht="39.4">
      <c r="A21" s="102"/>
      <c r="B21" s="1568"/>
      <c r="C21" s="1227" t="s">
        <v>119</v>
      </c>
      <c r="D21" s="1224"/>
      <c r="E21" s="1224"/>
      <c r="F21" s="1224"/>
      <c r="G21" s="1226">
        <f>+SUM(G19:G20)</f>
        <v>0</v>
      </c>
      <c r="H21" s="1226">
        <f>+SUM(H19:H20)</f>
        <v>0</v>
      </c>
      <c r="I21" s="1577">
        <f>+SUM(I19:I20)</f>
        <v>0</v>
      </c>
      <c r="J21" s="142"/>
      <c r="K21" s="135"/>
      <c r="L21" s="135"/>
      <c r="M21" s="102"/>
      <c r="N21" s="102"/>
      <c r="O21" s="102"/>
      <c r="P21" s="102"/>
      <c r="Q21" s="102"/>
      <c r="R21" s="102"/>
      <c r="S21" s="102"/>
    </row>
    <row r="22" spans="1:19">
      <c r="A22" s="102"/>
      <c r="B22" s="1568"/>
      <c r="C22" s="147"/>
      <c r="D22" s="147"/>
      <c r="E22" s="147"/>
      <c r="F22" s="147"/>
      <c r="G22" s="297"/>
      <c r="H22" s="297"/>
      <c r="I22" s="1580"/>
      <c r="J22" s="142"/>
      <c r="K22" s="135"/>
      <c r="L22" s="135"/>
      <c r="M22" s="102"/>
      <c r="N22" s="102"/>
      <c r="O22" s="102"/>
      <c r="P22" s="102"/>
      <c r="Q22" s="102"/>
      <c r="R22" s="102"/>
      <c r="S22" s="102"/>
    </row>
    <row r="23" spans="1:19" ht="13.5" thickBot="1">
      <c r="A23" s="102"/>
      <c r="B23" s="1581"/>
      <c r="C23" s="1582" t="s">
        <v>3</v>
      </c>
      <c r="D23" s="1582"/>
      <c r="E23" s="1582"/>
      <c r="F23" s="1582"/>
      <c r="G23" s="1583">
        <f>+G21+G17</f>
        <v>0</v>
      </c>
      <c r="H23" s="1583">
        <f>+H21+H17</f>
        <v>0</v>
      </c>
      <c r="I23" s="1584">
        <f>+I21+I17</f>
        <v>307800</v>
      </c>
      <c r="J23" s="142"/>
      <c r="K23" s="135"/>
      <c r="L23" s="135"/>
      <c r="M23" s="102"/>
      <c r="N23" s="102"/>
      <c r="O23" s="102"/>
      <c r="P23" s="102"/>
      <c r="Q23" s="102"/>
      <c r="R23" s="102"/>
      <c r="S23" s="102"/>
    </row>
    <row r="24" spans="1:19">
      <c r="A24" s="102"/>
      <c r="B24" s="140"/>
      <c r="C24" s="103"/>
      <c r="D24" s="103"/>
      <c r="E24" s="103"/>
      <c r="F24" s="103"/>
      <c r="G24" s="298"/>
      <c r="H24" s="298"/>
      <c r="I24" s="298"/>
      <c r="J24" s="142"/>
      <c r="K24" s="135"/>
      <c r="L24" s="135"/>
      <c r="M24" s="102"/>
      <c r="N24" s="102"/>
      <c r="O24" s="102"/>
      <c r="P24" s="102"/>
      <c r="Q24" s="102"/>
      <c r="R24" s="102"/>
      <c r="S24" s="102"/>
    </row>
    <row r="25" spans="1:19">
      <c r="A25" s="102"/>
      <c r="B25" s="140"/>
      <c r="C25" s="103" t="s">
        <v>4</v>
      </c>
      <c r="D25" s="102"/>
      <c r="E25" s="102"/>
      <c r="F25" s="102"/>
      <c r="G25" s="295"/>
      <c r="H25" s="295"/>
      <c r="I25" s="295"/>
      <c r="J25" s="142"/>
      <c r="K25" s="135"/>
      <c r="L25" s="135"/>
      <c r="M25" s="102"/>
      <c r="N25" s="102"/>
      <c r="O25" s="102"/>
      <c r="P25" s="102"/>
      <c r="Q25" s="102"/>
      <c r="R25" s="102"/>
      <c r="S25" s="102"/>
    </row>
    <row r="26" spans="1:19">
      <c r="A26" s="102"/>
      <c r="B26" s="140">
        <v>12010</v>
      </c>
      <c r="C26" s="102" t="s">
        <v>5</v>
      </c>
      <c r="D26" s="102"/>
      <c r="E26" s="102"/>
      <c r="F26" s="102"/>
      <c r="G26" s="292"/>
      <c r="H26" s="292"/>
      <c r="I26" s="292"/>
      <c r="J26" s="142"/>
      <c r="K26" s="135"/>
      <c r="L26" s="135"/>
      <c r="M26" s="102"/>
      <c r="N26" s="102"/>
      <c r="O26" s="102"/>
      <c r="P26" s="102"/>
      <c r="Q26" s="102"/>
      <c r="R26" s="102"/>
      <c r="S26" s="102"/>
    </row>
    <row r="27" spans="1:19">
      <c r="A27" s="102"/>
      <c r="B27" s="140">
        <v>12040</v>
      </c>
      <c r="C27" s="102" t="s">
        <v>22</v>
      </c>
      <c r="D27" s="102"/>
      <c r="E27" s="104">
        <v>21</v>
      </c>
      <c r="F27" s="102"/>
      <c r="G27" s="292"/>
      <c r="H27" s="292"/>
      <c r="I27" s="292"/>
      <c r="J27" s="142"/>
      <c r="K27" s="135">
        <f>IF((+G27-'Nº11b Act x Mut Hip endo'!D12)=0,0, "VERIFICAR")</f>
        <v>0</v>
      </c>
      <c r="L27" s="135">
        <f>IF((+H27-'Nº11b Act x Mut Hip endo'!F12)=0,0, "VERIFICAR")</f>
        <v>0</v>
      </c>
      <c r="M27" s="102"/>
      <c r="N27" s="102"/>
      <c r="O27" s="102"/>
      <c r="P27" s="102"/>
      <c r="Q27" s="102"/>
      <c r="R27" s="102"/>
      <c r="S27" s="102"/>
    </row>
    <row r="28" spans="1:19">
      <c r="A28" s="102"/>
      <c r="B28" s="140">
        <v>12050</v>
      </c>
      <c r="C28" s="102" t="s">
        <v>6</v>
      </c>
      <c r="D28" s="102"/>
      <c r="E28" s="104">
        <v>12</v>
      </c>
      <c r="F28" s="102"/>
      <c r="G28" s="292"/>
      <c r="H28" s="292"/>
      <c r="I28" s="292"/>
      <c r="J28" s="142"/>
      <c r="K28" s="135">
        <f>IF((+G28-'Nº12 Deu Com y otxcob cte'!E44)=0,0, "VERIFICAR")</f>
        <v>0</v>
      </c>
      <c r="L28" s="135">
        <f>IF((+H28-'Nº12 Deu Com y otxcob cte'!H44)=0,0, "VERIFICAR")</f>
        <v>0</v>
      </c>
      <c r="M28" s="102"/>
      <c r="N28" s="102"/>
      <c r="O28" s="102"/>
      <c r="P28" s="102"/>
      <c r="Q28" s="102"/>
      <c r="R28" s="102"/>
      <c r="S28" s="102"/>
    </row>
    <row r="29" spans="1:19">
      <c r="A29" s="102"/>
      <c r="B29" s="140">
        <v>12060</v>
      </c>
      <c r="C29" s="102" t="s">
        <v>23</v>
      </c>
      <c r="D29" s="102"/>
      <c r="E29" s="104">
        <v>16</v>
      </c>
      <c r="F29" s="102"/>
      <c r="G29" s="292"/>
      <c r="H29" s="292"/>
      <c r="I29" s="292"/>
      <c r="J29" s="142"/>
      <c r="K29" s="135">
        <f>IF((+G29-'Nº16a ctas EERR'!K20)=0,0, "VERIFICAR")</f>
        <v>0</v>
      </c>
      <c r="L29" s="135">
        <f>IF((+H29-'Nº16a ctas EERR'!L20)=0,0, "VERIFICAR")</f>
        <v>0</v>
      </c>
      <c r="M29" s="102"/>
      <c r="N29" s="102"/>
      <c r="O29" s="102"/>
      <c r="P29" s="102"/>
      <c r="Q29" s="102"/>
      <c r="R29" s="102"/>
      <c r="S29" s="102"/>
    </row>
    <row r="30" spans="1:19">
      <c r="A30" s="102"/>
      <c r="B30" s="140">
        <v>12070</v>
      </c>
      <c r="C30" s="102" t="s">
        <v>24</v>
      </c>
      <c r="D30" s="102"/>
      <c r="E30" s="104">
        <v>14</v>
      </c>
      <c r="F30" s="104"/>
      <c r="G30" s="292"/>
      <c r="H30" s="292"/>
      <c r="I30" s="292"/>
      <c r="J30" s="142"/>
      <c r="K30" s="135">
        <f>IF((+G30-'Nº14 a) Inversion en Soc'!F15)=0,0, "VERIFICAR")</f>
        <v>0</v>
      </c>
      <c r="L30" s="135"/>
      <c r="M30" s="102"/>
      <c r="N30" s="102"/>
      <c r="O30" s="102"/>
      <c r="P30" s="102"/>
      <c r="Q30" s="102"/>
      <c r="R30" s="102"/>
      <c r="S30" s="102"/>
    </row>
    <row r="31" spans="1:19">
      <c r="A31" s="102"/>
      <c r="B31" s="140">
        <v>12080</v>
      </c>
      <c r="C31" s="102" t="s">
        <v>25</v>
      </c>
      <c r="D31" s="102"/>
      <c r="E31" s="104">
        <v>17</v>
      </c>
      <c r="F31" s="104"/>
      <c r="G31" s="292"/>
      <c r="H31" s="292"/>
      <c r="I31" s="292"/>
      <c r="J31" s="142"/>
      <c r="K31" s="135">
        <f>IF((+G31-'Nº17 Intangible'!I61)=0,0, "VERIFICAR")</f>
        <v>0</v>
      </c>
      <c r="L31" s="135">
        <f>IF((+H31-'Nº17 Intangible'!I59)=0,0, "VERIFICAR")</f>
        <v>0</v>
      </c>
      <c r="M31" s="102"/>
      <c r="N31" s="102"/>
      <c r="O31" s="102"/>
      <c r="P31" s="102"/>
      <c r="Q31" s="102"/>
      <c r="R31" s="102"/>
      <c r="S31" s="102"/>
    </row>
    <row r="32" spans="1:19">
      <c r="A32" s="102"/>
      <c r="B32" s="140">
        <v>12090</v>
      </c>
      <c r="C32" s="102" t="s">
        <v>7</v>
      </c>
      <c r="D32" s="102"/>
      <c r="E32" s="104">
        <v>39</v>
      </c>
      <c r="F32" s="104"/>
      <c r="G32" s="292"/>
      <c r="H32" s="292"/>
      <c r="I32" s="292"/>
      <c r="J32" s="142"/>
      <c r="K32" s="135">
        <f>IF((+G32-'Nº39 Plusvalia'!G13)=0,0, "VERIFICAR")</f>
        <v>0</v>
      </c>
      <c r="L32" s="135">
        <f>IF((+H32-'Nº39 Plusvalia'!H24)=0,0, "VERIFICAR")</f>
        <v>0</v>
      </c>
      <c r="M32" s="102"/>
      <c r="N32" s="102"/>
      <c r="O32" s="102"/>
      <c r="P32" s="102"/>
      <c r="Q32" s="102"/>
      <c r="R32" s="102"/>
      <c r="S32" s="102"/>
    </row>
    <row r="33" spans="1:19">
      <c r="A33" s="102"/>
      <c r="B33" s="140">
        <v>12100</v>
      </c>
      <c r="C33" s="102" t="s">
        <v>26</v>
      </c>
      <c r="D33" s="102"/>
      <c r="E33" s="104">
        <v>18</v>
      </c>
      <c r="F33" s="102"/>
      <c r="G33" s="292"/>
      <c r="H33" s="292"/>
      <c r="I33" s="292"/>
      <c r="J33" s="142"/>
      <c r="K33" s="135">
        <f>IF((+G33-'Nº18 Pr Plt Eq'!J51)=0,0, "VERIFICAR")</f>
        <v>0</v>
      </c>
      <c r="L33" s="135">
        <f>IF((+H33-'Nº18 Pr Plt Eq'!J49)=0,0, "VERIFICAR")</f>
        <v>0</v>
      </c>
      <c r="M33" s="102"/>
      <c r="N33" s="102"/>
      <c r="O33" s="102"/>
      <c r="P33" s="102"/>
      <c r="Q33" s="102"/>
      <c r="R33" s="102"/>
      <c r="S33" s="102"/>
    </row>
    <row r="34" spans="1:19">
      <c r="A34" s="102"/>
      <c r="B34" s="140">
        <v>12110</v>
      </c>
      <c r="C34" s="102" t="s">
        <v>8</v>
      </c>
      <c r="D34" s="102"/>
      <c r="E34" s="104"/>
      <c r="F34" s="102"/>
      <c r="G34" s="292"/>
      <c r="H34" s="292"/>
      <c r="I34" s="292"/>
      <c r="J34" s="142"/>
      <c r="K34" s="135"/>
      <c r="L34" s="135"/>
      <c r="M34" s="102"/>
      <c r="N34" s="102"/>
      <c r="O34" s="102"/>
      <c r="P34" s="102"/>
      <c r="Q34" s="102"/>
      <c r="R34" s="102"/>
      <c r="S34" s="102"/>
    </row>
    <row r="35" spans="1:19">
      <c r="A35" s="102"/>
      <c r="B35" s="140">
        <v>12120</v>
      </c>
      <c r="C35" s="102" t="s">
        <v>9</v>
      </c>
      <c r="D35" s="102"/>
      <c r="E35" s="104"/>
      <c r="F35" s="102"/>
      <c r="G35" s="292"/>
      <c r="H35" s="292"/>
      <c r="I35" s="292"/>
      <c r="J35" s="142"/>
      <c r="K35" s="135"/>
      <c r="L35" s="135"/>
      <c r="M35" s="102"/>
      <c r="N35" s="102"/>
      <c r="O35" s="102"/>
      <c r="P35" s="102"/>
      <c r="Q35" s="102"/>
      <c r="R35" s="102"/>
      <c r="S35" s="102"/>
    </row>
    <row r="36" spans="1:19">
      <c r="A36" s="102"/>
      <c r="B36" s="140">
        <v>12130</v>
      </c>
      <c r="C36" s="102" t="s">
        <v>27</v>
      </c>
      <c r="D36" s="102"/>
      <c r="E36" s="104">
        <v>19</v>
      </c>
      <c r="F36" s="102"/>
      <c r="G36" s="292"/>
      <c r="H36" s="292"/>
      <c r="I36" s="292"/>
      <c r="J36" s="142"/>
      <c r="K36" s="135">
        <f>IF((+G36-'Nº19 Imp cte y dif'!C64)=0,0, "VERIFICAR")</f>
        <v>0</v>
      </c>
      <c r="L36" s="135">
        <f>IF((+H36-'Nº19 Imp cte y dif'!E64)=0,0, "VERIFICAR")</f>
        <v>0</v>
      </c>
      <c r="M36" s="102"/>
      <c r="N36" s="102"/>
      <c r="O36" s="102"/>
      <c r="P36" s="102"/>
      <c r="Q36" s="102"/>
      <c r="R36" s="102"/>
      <c r="S36" s="102"/>
    </row>
    <row r="37" spans="1:19">
      <c r="A37" s="102"/>
      <c r="B37" s="140"/>
      <c r="C37" s="1224" t="s">
        <v>10</v>
      </c>
      <c r="D37" s="1224"/>
      <c r="E37" s="1224"/>
      <c r="F37" s="1224"/>
      <c r="G37" s="1228">
        <f>+SUM(G26:G36)</f>
        <v>0</v>
      </c>
      <c r="H37" s="1228">
        <f>+SUM(H26:H36)</f>
        <v>0</v>
      </c>
      <c r="I37" s="1228">
        <f>+SUM(I26:I36)</f>
        <v>0</v>
      </c>
      <c r="J37" s="142"/>
      <c r="K37" s="135"/>
      <c r="L37" s="135"/>
      <c r="M37" s="102"/>
      <c r="N37" s="102"/>
      <c r="O37" s="102"/>
      <c r="P37" s="102"/>
      <c r="Q37" s="102"/>
      <c r="R37" s="102"/>
      <c r="S37" s="102"/>
    </row>
    <row r="38" spans="1:19">
      <c r="A38" s="102"/>
      <c r="B38" s="140"/>
      <c r="C38" s="103"/>
      <c r="D38" s="103"/>
      <c r="E38" s="103"/>
      <c r="F38" s="103"/>
      <c r="G38" s="298"/>
      <c r="H38" s="298"/>
      <c r="I38" s="298"/>
      <c r="J38" s="142"/>
      <c r="K38" s="135"/>
      <c r="L38" s="135"/>
      <c r="M38" s="102"/>
      <c r="N38" s="102"/>
      <c r="O38" s="102"/>
      <c r="P38" s="102"/>
      <c r="Q38" s="102"/>
      <c r="R38" s="102"/>
      <c r="S38" s="102"/>
    </row>
    <row r="39" spans="1:19">
      <c r="A39" s="102"/>
      <c r="B39" s="140"/>
      <c r="C39" s="1224" t="s">
        <v>11</v>
      </c>
      <c r="D39" s="1224"/>
      <c r="E39" s="1224"/>
      <c r="F39" s="1224"/>
      <c r="G39" s="1228">
        <f>+G37+G23</f>
        <v>0</v>
      </c>
      <c r="H39" s="1228">
        <f>+H37+H23</f>
        <v>0</v>
      </c>
      <c r="I39" s="1228">
        <f>+I37+I23</f>
        <v>307800</v>
      </c>
      <c r="J39" s="142"/>
      <c r="K39" s="135"/>
      <c r="L39" s="135"/>
      <c r="M39" s="102"/>
      <c r="N39" s="102"/>
      <c r="O39" s="102"/>
      <c r="P39" s="102"/>
      <c r="Q39" s="102"/>
      <c r="R39" s="102"/>
      <c r="S39" s="102"/>
    </row>
    <row r="40" spans="1:19">
      <c r="A40" s="102"/>
      <c r="B40" s="140"/>
      <c r="C40" s="102"/>
      <c r="D40" s="102"/>
      <c r="E40" s="102"/>
      <c r="F40" s="102"/>
      <c r="G40" s="295"/>
      <c r="H40" s="295"/>
      <c r="I40" s="295"/>
      <c r="J40" s="142"/>
      <c r="K40" s="135"/>
      <c r="L40" s="135"/>
      <c r="M40" s="102"/>
      <c r="N40" s="102"/>
      <c r="O40" s="102"/>
      <c r="P40" s="102"/>
      <c r="Q40" s="102"/>
      <c r="R40" s="102"/>
      <c r="S40" s="102"/>
    </row>
    <row r="41" spans="1:19">
      <c r="A41" s="102"/>
      <c r="B41" s="140"/>
      <c r="C41" s="102"/>
      <c r="D41" s="102"/>
      <c r="E41" s="102"/>
      <c r="F41" s="102"/>
      <c r="G41" s="295"/>
      <c r="H41" s="295"/>
      <c r="I41" s="295"/>
      <c r="J41" s="142"/>
      <c r="K41" s="135"/>
      <c r="L41" s="135"/>
      <c r="M41" s="102"/>
      <c r="N41" s="102"/>
      <c r="O41" s="102"/>
      <c r="P41" s="102"/>
      <c r="Q41" s="102"/>
      <c r="R41" s="102"/>
      <c r="S41" s="102"/>
    </row>
    <row r="42" spans="1:19">
      <c r="A42" s="102"/>
      <c r="B42" s="140"/>
      <c r="C42" s="103" t="s">
        <v>59</v>
      </c>
      <c r="D42" s="102"/>
      <c r="E42" s="102"/>
      <c r="F42" s="102"/>
      <c r="G42" s="295"/>
      <c r="H42" s="295"/>
      <c r="I42" s="295"/>
      <c r="J42" s="142"/>
      <c r="K42" s="135"/>
      <c r="L42" s="135"/>
      <c r="M42" s="102"/>
      <c r="N42" s="102"/>
      <c r="O42" s="102"/>
      <c r="P42" s="102"/>
      <c r="Q42" s="102"/>
      <c r="R42" s="102"/>
      <c r="S42" s="102"/>
    </row>
    <row r="43" spans="1:19">
      <c r="A43" s="102"/>
      <c r="B43" s="140"/>
      <c r="C43" s="103" t="s">
        <v>28</v>
      </c>
      <c r="D43" s="102"/>
      <c r="E43" s="102"/>
      <c r="F43" s="102"/>
      <c r="G43" s="295"/>
      <c r="H43" s="295"/>
      <c r="I43" s="295"/>
      <c r="J43" s="142"/>
      <c r="K43" s="135"/>
      <c r="L43" s="135"/>
      <c r="M43" s="102"/>
      <c r="N43" s="102"/>
      <c r="O43" s="102"/>
      <c r="P43" s="102"/>
      <c r="Q43" s="102"/>
      <c r="R43" s="102"/>
      <c r="S43" s="102"/>
    </row>
    <row r="44" spans="1:19">
      <c r="A44" s="102"/>
      <c r="B44" s="140"/>
      <c r="C44" s="103" t="s">
        <v>29</v>
      </c>
      <c r="D44" s="102"/>
      <c r="E44" s="102"/>
      <c r="F44" s="102"/>
      <c r="G44" s="295"/>
      <c r="H44" s="295"/>
      <c r="I44" s="295"/>
      <c r="J44" s="142"/>
      <c r="K44" s="135"/>
      <c r="L44" s="135"/>
      <c r="M44" s="102"/>
      <c r="N44" s="102"/>
      <c r="O44" s="102"/>
      <c r="P44" s="102"/>
      <c r="Q44" s="102"/>
      <c r="R44" s="102"/>
      <c r="S44" s="102"/>
    </row>
    <row r="45" spans="1:19">
      <c r="A45" s="102"/>
      <c r="B45" s="140"/>
      <c r="C45" s="103"/>
      <c r="D45" s="102"/>
      <c r="E45" s="102"/>
      <c r="F45" s="102"/>
      <c r="G45" s="295"/>
      <c r="H45" s="295"/>
      <c r="I45" s="295"/>
      <c r="J45" s="142"/>
      <c r="K45" s="135"/>
      <c r="L45" s="135"/>
      <c r="M45" s="102"/>
      <c r="N45" s="102"/>
      <c r="O45" s="102"/>
      <c r="P45" s="102"/>
      <c r="Q45" s="102"/>
      <c r="R45" s="102"/>
      <c r="S45" s="102"/>
    </row>
    <row r="46" spans="1:19">
      <c r="A46" s="102"/>
      <c r="B46" s="140">
        <v>21010</v>
      </c>
      <c r="C46" s="102" t="s">
        <v>48</v>
      </c>
      <c r="D46" s="102"/>
      <c r="E46" s="104">
        <v>23</v>
      </c>
      <c r="F46" s="102"/>
      <c r="G46" s="292"/>
      <c r="H46" s="292"/>
      <c r="I46" s="292"/>
      <c r="J46" s="142"/>
      <c r="K46" s="135">
        <f>IF((+G46-'Nº23a Ot Pas Fin'!C14)=0,0, "VERIFICAR")</f>
        <v>0</v>
      </c>
      <c r="L46" s="135">
        <f>IF((+H46-'Nº23a Ot Pas Fin'!E14)=0,0, "VERIFICAR")</f>
        <v>0</v>
      </c>
      <c r="M46" s="102"/>
      <c r="N46" s="102"/>
      <c r="O46" s="102"/>
      <c r="P46" s="102"/>
      <c r="Q46" s="102"/>
      <c r="R46" s="102"/>
      <c r="S46" s="102"/>
    </row>
    <row r="47" spans="1:19">
      <c r="A47" s="102"/>
      <c r="B47" s="140">
        <v>21020</v>
      </c>
      <c r="C47" s="102" t="s">
        <v>49</v>
      </c>
      <c r="D47" s="102"/>
      <c r="E47" s="104">
        <v>24</v>
      </c>
      <c r="F47" s="102"/>
      <c r="G47" s="292"/>
      <c r="H47" s="292"/>
      <c r="I47" s="292"/>
      <c r="J47" s="142"/>
      <c r="K47" s="135">
        <f>IF((+G47-'Nº24 Cta x pag Comerciales'!C16)=0,0, "VERIFICAR")</f>
        <v>0</v>
      </c>
      <c r="L47" s="135">
        <f>IF((+H47-'Nº24 Cta x pag Comerciales'!E16)=0,0, "VERIFICAR")</f>
        <v>0</v>
      </c>
      <c r="M47" s="102"/>
      <c r="N47" s="102"/>
      <c r="O47" s="102"/>
      <c r="P47" s="102"/>
      <c r="Q47" s="102"/>
      <c r="R47" s="102"/>
      <c r="S47" s="102"/>
    </row>
    <row r="48" spans="1:19">
      <c r="A48" s="102"/>
      <c r="B48" s="140">
        <v>21040</v>
      </c>
      <c r="C48" s="102" t="s">
        <v>50</v>
      </c>
      <c r="D48" s="102"/>
      <c r="E48" s="104">
        <v>16</v>
      </c>
      <c r="F48" s="102"/>
      <c r="G48" s="292"/>
      <c r="H48" s="292"/>
      <c r="I48" s="292"/>
      <c r="J48" s="142"/>
      <c r="K48" s="135">
        <f>IF((+G48-'Nº16a ctas EERR'!H39)=0,0, "VERIFICAR")</f>
        <v>0</v>
      </c>
      <c r="L48" s="135">
        <f>IF((+H48-'Nº16a ctas EERR'!I39)=0,0, "VERIFICAR")</f>
        <v>0</v>
      </c>
      <c r="M48" s="102"/>
      <c r="N48" s="102"/>
      <c r="O48" s="102"/>
      <c r="P48" s="102"/>
      <c r="Q48" s="102"/>
      <c r="R48" s="102"/>
      <c r="S48" s="102"/>
    </row>
    <row r="49" spans="1:19">
      <c r="A49" s="102"/>
      <c r="B49" s="140">
        <v>21050</v>
      </c>
      <c r="C49" s="102" t="s">
        <v>51</v>
      </c>
      <c r="D49" s="102"/>
      <c r="E49" s="104">
        <v>27</v>
      </c>
      <c r="F49" s="102"/>
      <c r="G49" s="292"/>
      <c r="H49" s="292"/>
      <c r="I49" s="292"/>
      <c r="J49" s="142"/>
      <c r="K49" s="135"/>
      <c r="L49" s="135"/>
      <c r="M49" s="102"/>
      <c r="N49" s="102"/>
      <c r="O49" s="102"/>
      <c r="P49" s="102"/>
      <c r="Q49" s="102"/>
      <c r="R49" s="102"/>
      <c r="S49" s="102"/>
    </row>
    <row r="50" spans="1:19">
      <c r="A50" s="102"/>
      <c r="B50" s="140">
        <v>21060</v>
      </c>
      <c r="C50" s="102" t="s">
        <v>52</v>
      </c>
      <c r="D50" s="102"/>
      <c r="E50" s="104">
        <v>19</v>
      </c>
      <c r="F50" s="102"/>
      <c r="G50" s="292"/>
      <c r="H50" s="292"/>
      <c r="I50" s="292"/>
      <c r="J50" s="142"/>
      <c r="K50" s="135">
        <f>IF((+G50-'Nº19 Imp cte y dif'!C31)=0,0, "VERIFICAR")</f>
        <v>0</v>
      </c>
      <c r="L50" s="135">
        <f>IF((+H50-'Nº19 Imp cte y dif'!D31)=0,0, "VERIFICAR")</f>
        <v>0</v>
      </c>
      <c r="M50" s="102"/>
      <c r="N50" s="102"/>
      <c r="O50" s="102"/>
      <c r="P50" s="102"/>
      <c r="Q50" s="102"/>
      <c r="R50" s="102"/>
      <c r="S50" s="102"/>
    </row>
    <row r="51" spans="1:19">
      <c r="A51" s="102"/>
      <c r="B51" s="140">
        <v>21070</v>
      </c>
      <c r="C51" s="102" t="s">
        <v>30</v>
      </c>
      <c r="D51" s="102"/>
      <c r="E51" s="105">
        <v>40</v>
      </c>
      <c r="F51" s="102"/>
      <c r="G51" s="292"/>
      <c r="H51" s="292"/>
      <c r="I51" s="292"/>
      <c r="J51" s="142"/>
      <c r="K51" s="135">
        <f>IF((+G51-'Nº40 Benf a los empl'!C22)=0,0, "VERIFICAR")</f>
        <v>0</v>
      </c>
      <c r="L51" s="135">
        <f>IF((+H51-'Nº40 Benf a los empl'!E22)=0,0, "VERIFICAR")</f>
        <v>0</v>
      </c>
      <c r="M51" s="102"/>
      <c r="N51" s="102"/>
      <c r="O51" s="102"/>
      <c r="P51" s="102"/>
      <c r="Q51" s="102"/>
      <c r="R51" s="102"/>
      <c r="S51" s="102"/>
    </row>
    <row r="52" spans="1:19">
      <c r="A52" s="102"/>
      <c r="B52" s="140">
        <v>21080</v>
      </c>
      <c r="C52" s="102" t="s">
        <v>53</v>
      </c>
      <c r="D52" s="102"/>
      <c r="E52" s="104">
        <v>26</v>
      </c>
      <c r="F52" s="102"/>
      <c r="G52" s="292"/>
      <c r="H52" s="292"/>
      <c r="I52" s="292"/>
      <c r="J52" s="142"/>
      <c r="K52" s="135">
        <f>IF((+G52-'Nº26 Ot Pas NO Fin'!C10)=0,0,"VERIFICAR")</f>
        <v>0</v>
      </c>
      <c r="L52" s="135">
        <f>IF((+H52-'Nº26 Ot Pas NO Fin'!E10)=0,0,"VERIFICAR")</f>
        <v>0</v>
      </c>
      <c r="M52" s="102"/>
      <c r="N52" s="102"/>
      <c r="O52" s="102"/>
      <c r="P52" s="102"/>
      <c r="Q52" s="102"/>
      <c r="R52" s="102"/>
      <c r="S52" s="102"/>
    </row>
    <row r="53" spans="1:19" s="2" customFormat="1">
      <c r="A53" s="103"/>
      <c r="B53" s="144"/>
      <c r="C53" s="1229" t="s">
        <v>31</v>
      </c>
      <c r="D53" s="1229"/>
      <c r="E53" s="1229"/>
      <c r="F53" s="1229"/>
      <c r="G53" s="1230">
        <f>+SUM(G46:G52)</f>
        <v>0</v>
      </c>
      <c r="H53" s="1230">
        <f>+SUM(H46:H52)</f>
        <v>0</v>
      </c>
      <c r="I53" s="1230">
        <f>+SUM(I46:I52)</f>
        <v>0</v>
      </c>
      <c r="J53" s="143"/>
      <c r="K53" s="145"/>
      <c r="L53" s="145"/>
      <c r="M53" s="103"/>
      <c r="N53" s="103"/>
      <c r="O53" s="103"/>
      <c r="P53" s="103"/>
      <c r="Q53" s="103"/>
      <c r="R53" s="103"/>
      <c r="S53" s="103"/>
    </row>
    <row r="54" spans="1:19" s="2" customFormat="1">
      <c r="A54" s="103"/>
      <c r="B54" s="144"/>
      <c r="C54" s="1231" t="s">
        <v>32</v>
      </c>
      <c r="D54" s="1231"/>
      <c r="E54" s="1231"/>
      <c r="F54" s="1231"/>
      <c r="G54" s="1232"/>
      <c r="H54" s="1232"/>
      <c r="I54" s="1232"/>
      <c r="J54" s="143"/>
      <c r="K54" s="145"/>
      <c r="L54" s="145"/>
      <c r="M54" s="103"/>
      <c r="N54" s="103"/>
      <c r="O54" s="103"/>
      <c r="P54" s="103"/>
      <c r="Q54" s="103"/>
      <c r="R54" s="103"/>
      <c r="S54" s="103"/>
    </row>
    <row r="55" spans="1:19" s="2" customFormat="1">
      <c r="A55" s="103"/>
      <c r="B55" s="144"/>
      <c r="C55" s="1233" t="s">
        <v>2</v>
      </c>
      <c r="D55" s="1233"/>
      <c r="E55" s="1233"/>
      <c r="F55" s="1233"/>
      <c r="G55" s="1234"/>
      <c r="H55" s="1234"/>
      <c r="I55" s="1234"/>
      <c r="J55" s="143"/>
      <c r="K55" s="145"/>
      <c r="L55" s="145"/>
      <c r="M55" s="103"/>
      <c r="N55" s="103"/>
      <c r="O55" s="103"/>
      <c r="P55" s="103"/>
      <c r="Q55" s="103"/>
      <c r="R55" s="103"/>
      <c r="S55" s="103"/>
    </row>
    <row r="56" spans="1:19" s="2" customFormat="1">
      <c r="A56" s="103"/>
      <c r="B56" s="144"/>
      <c r="C56" s="103"/>
      <c r="D56" s="103"/>
      <c r="E56" s="103"/>
      <c r="F56" s="103"/>
      <c r="G56" s="300"/>
      <c r="H56" s="300"/>
      <c r="I56" s="300"/>
      <c r="J56" s="143"/>
      <c r="K56" s="145"/>
      <c r="L56" s="145"/>
      <c r="M56" s="103"/>
      <c r="N56" s="103"/>
      <c r="O56" s="103"/>
      <c r="P56" s="103"/>
      <c r="Q56" s="103"/>
      <c r="R56" s="103"/>
      <c r="S56" s="103"/>
    </row>
    <row r="57" spans="1:19" ht="26.25">
      <c r="A57" s="102"/>
      <c r="B57" s="140">
        <v>21200</v>
      </c>
      <c r="C57" s="146" t="s">
        <v>122</v>
      </c>
      <c r="D57" s="102"/>
      <c r="E57" s="102"/>
      <c r="F57" s="102"/>
      <c r="G57" s="296"/>
      <c r="H57" s="296"/>
      <c r="I57" s="296"/>
      <c r="J57" s="142"/>
      <c r="K57" s="135"/>
      <c r="L57" s="135"/>
      <c r="M57" s="102"/>
      <c r="N57" s="102"/>
      <c r="O57" s="102"/>
      <c r="P57" s="102"/>
      <c r="Q57" s="102"/>
      <c r="R57" s="102"/>
      <c r="S57" s="102"/>
    </row>
    <row r="58" spans="1:19">
      <c r="A58" s="102"/>
      <c r="B58" s="140"/>
      <c r="C58" s="1224" t="s">
        <v>33</v>
      </c>
      <c r="D58" s="1224"/>
      <c r="E58" s="1224"/>
      <c r="F58" s="1224"/>
      <c r="G58" s="1228">
        <f>+G53+G57</f>
        <v>0</v>
      </c>
      <c r="H58" s="1228">
        <f>+H53+H57</f>
        <v>0</v>
      </c>
      <c r="I58" s="1228">
        <f>+I53+I57</f>
        <v>0</v>
      </c>
      <c r="J58" s="142"/>
      <c r="K58" s="135"/>
      <c r="L58" s="135"/>
      <c r="M58" s="102"/>
      <c r="N58" s="102"/>
      <c r="O58" s="102"/>
      <c r="P58" s="102"/>
      <c r="Q58" s="102"/>
      <c r="R58" s="102"/>
      <c r="S58" s="102"/>
    </row>
    <row r="59" spans="1:19">
      <c r="A59" s="102"/>
      <c r="B59" s="140"/>
      <c r="C59" s="103"/>
      <c r="D59" s="103"/>
      <c r="E59" s="103"/>
      <c r="F59" s="103"/>
      <c r="G59" s="298"/>
      <c r="H59" s="298"/>
      <c r="I59" s="298"/>
      <c r="J59" s="142"/>
      <c r="K59" s="135"/>
      <c r="L59" s="135"/>
      <c r="M59" s="102"/>
      <c r="N59" s="102"/>
      <c r="O59" s="102"/>
      <c r="P59" s="102"/>
      <c r="Q59" s="102"/>
      <c r="R59" s="102"/>
      <c r="S59" s="102"/>
    </row>
    <row r="60" spans="1:19">
      <c r="A60" s="102"/>
      <c r="B60" s="140"/>
      <c r="C60" s="103" t="s">
        <v>34</v>
      </c>
      <c r="D60" s="102"/>
      <c r="E60" s="102"/>
      <c r="F60" s="102"/>
      <c r="G60" s="295"/>
      <c r="H60" s="295"/>
      <c r="I60" s="295"/>
      <c r="J60" s="142"/>
      <c r="K60" s="135"/>
      <c r="L60" s="135"/>
      <c r="M60" s="102"/>
      <c r="N60" s="102"/>
      <c r="O60" s="102"/>
      <c r="P60" s="102"/>
      <c r="Q60" s="102"/>
      <c r="R60" s="102"/>
      <c r="S60" s="102"/>
    </row>
    <row r="61" spans="1:19">
      <c r="A61" s="102"/>
      <c r="B61" s="140"/>
      <c r="C61" s="103"/>
      <c r="D61" s="102"/>
      <c r="E61" s="102"/>
      <c r="F61" s="102"/>
      <c r="G61" s="295"/>
      <c r="H61" s="295"/>
      <c r="I61" s="295"/>
      <c r="J61" s="142"/>
      <c r="K61" s="135"/>
      <c r="L61" s="135"/>
      <c r="M61" s="102"/>
      <c r="N61" s="102"/>
      <c r="O61" s="102"/>
      <c r="P61" s="102"/>
      <c r="Q61" s="102"/>
      <c r="R61" s="102"/>
      <c r="S61" s="102"/>
    </row>
    <row r="62" spans="1:19">
      <c r="A62" s="102"/>
      <c r="B62" s="140">
        <v>22010</v>
      </c>
      <c r="C62" s="102" t="s">
        <v>54</v>
      </c>
      <c r="D62" s="102"/>
      <c r="E62" s="105">
        <v>23</v>
      </c>
      <c r="F62" s="102"/>
      <c r="G62" s="292"/>
      <c r="H62" s="292"/>
      <c r="I62" s="292"/>
      <c r="J62" s="142"/>
      <c r="K62" s="135">
        <f>IF((+G62-'Nº23a Ot Pas Fin'!D14)=0,0, "VERIFICAR")</f>
        <v>0</v>
      </c>
      <c r="L62" s="135">
        <f>IF((+H62-'Nº23a Ot Pas Fin'!F14)=0,0, "VERIFICAR")</f>
        <v>0</v>
      </c>
      <c r="M62" s="102"/>
      <c r="N62" s="102"/>
      <c r="O62" s="102"/>
      <c r="P62" s="102"/>
      <c r="Q62" s="102"/>
      <c r="R62" s="102"/>
      <c r="S62" s="102"/>
    </row>
    <row r="63" spans="1:19">
      <c r="A63" s="102"/>
      <c r="B63" s="140">
        <v>22020</v>
      </c>
      <c r="C63" s="102" t="s">
        <v>35</v>
      </c>
      <c r="D63" s="102"/>
      <c r="E63" s="104">
        <v>24</v>
      </c>
      <c r="F63" s="102"/>
      <c r="G63" s="292"/>
      <c r="H63" s="292"/>
      <c r="I63" s="292"/>
      <c r="J63" s="142"/>
      <c r="K63" s="135">
        <f>IF((+G63-'Nº24 Cta x pag Comerciales'!D16)=0,0, "VERIFICAR")</f>
        <v>0</v>
      </c>
      <c r="L63" s="135">
        <f>IF((+H63-'Nº24 Cta x pag Comerciales'!F16)=0,0, "VERIFICAR")</f>
        <v>0</v>
      </c>
      <c r="M63" s="102"/>
      <c r="N63" s="102"/>
      <c r="O63" s="102"/>
      <c r="P63" s="102"/>
      <c r="Q63" s="102"/>
      <c r="R63" s="102"/>
      <c r="S63" s="102"/>
    </row>
    <row r="64" spans="1:19">
      <c r="A64" s="102"/>
      <c r="B64" s="140">
        <v>22040</v>
      </c>
      <c r="C64" s="102" t="s">
        <v>60</v>
      </c>
      <c r="D64" s="102"/>
      <c r="E64" s="104">
        <v>16</v>
      </c>
      <c r="F64" s="102"/>
      <c r="G64" s="292"/>
      <c r="H64" s="292"/>
      <c r="I64" s="292"/>
      <c r="J64" s="142"/>
      <c r="K64" s="135">
        <f>IF((+G64-'Nº16a ctas EERR'!K39)=0,0, "VERIFICAR")</f>
        <v>0</v>
      </c>
      <c r="L64" s="135">
        <f>IF((+H64-'Nº16a ctas EERR'!L39)=0,0, "VERIFICAR")</f>
        <v>0</v>
      </c>
      <c r="M64" s="102"/>
      <c r="N64" s="102"/>
      <c r="O64" s="102"/>
      <c r="P64" s="102"/>
      <c r="Q64" s="102"/>
      <c r="R64" s="102"/>
      <c r="S64" s="102"/>
    </row>
    <row r="65" spans="1:19">
      <c r="A65" s="102"/>
      <c r="B65" s="140">
        <v>22050</v>
      </c>
      <c r="C65" s="102" t="s">
        <v>55</v>
      </c>
      <c r="D65" s="102"/>
      <c r="E65" s="104">
        <v>27</v>
      </c>
      <c r="F65" s="102"/>
      <c r="G65" s="292"/>
      <c r="H65" s="292"/>
      <c r="I65" s="292"/>
      <c r="J65" s="142"/>
      <c r="K65" s="135"/>
      <c r="L65" s="135"/>
      <c r="M65" s="102"/>
      <c r="N65" s="102"/>
      <c r="O65" s="102"/>
      <c r="P65" s="102"/>
      <c r="Q65" s="102"/>
      <c r="R65" s="102"/>
      <c r="S65" s="102"/>
    </row>
    <row r="66" spans="1:19">
      <c r="A66" s="102"/>
      <c r="B66" s="140">
        <v>22060</v>
      </c>
      <c r="C66" s="102" t="s">
        <v>56</v>
      </c>
      <c r="D66" s="102"/>
      <c r="E66" s="104">
        <v>19</v>
      </c>
      <c r="F66" s="102"/>
      <c r="G66" s="292"/>
      <c r="H66" s="292"/>
      <c r="I66" s="292"/>
      <c r="J66" s="142"/>
      <c r="K66" s="135">
        <f>IF((+G66-'Nº19 Imp cte y dif'!D64)=0,0, "VERIFICAR")</f>
        <v>0</v>
      </c>
      <c r="L66" s="135">
        <f>IF((+H66-'Nº19 Imp cte y dif'!F64)=0,0, "VERIFICAR")</f>
        <v>0</v>
      </c>
      <c r="M66" s="102"/>
      <c r="N66" s="102"/>
      <c r="O66" s="102"/>
      <c r="P66" s="102"/>
      <c r="Q66" s="102"/>
      <c r="R66" s="102"/>
      <c r="S66" s="102"/>
    </row>
    <row r="67" spans="1:19">
      <c r="A67" s="102"/>
      <c r="B67" s="140">
        <v>22070</v>
      </c>
      <c r="C67" s="102" t="s">
        <v>36</v>
      </c>
      <c r="D67" s="102"/>
      <c r="E67" s="105">
        <v>40</v>
      </c>
      <c r="F67" s="102"/>
      <c r="G67" s="292"/>
      <c r="H67" s="292"/>
      <c r="I67" s="292"/>
      <c r="J67" s="142"/>
      <c r="K67" s="135">
        <f>IF((+G67-'Nº40 Benf a los empl'!D22)=0,0, "VERIFICAR")</f>
        <v>0</v>
      </c>
      <c r="L67" s="135">
        <f>IF((+H67-'Nº40 Benf a los empl'!F22)=0,0, "VERIFICAR")</f>
        <v>0</v>
      </c>
      <c r="M67" s="102"/>
      <c r="N67" s="102"/>
      <c r="O67" s="102"/>
      <c r="P67" s="102"/>
      <c r="Q67" s="102"/>
      <c r="R67" s="102"/>
      <c r="S67" s="102"/>
    </row>
    <row r="68" spans="1:19">
      <c r="A68" s="102"/>
      <c r="B68" s="140">
        <v>22080</v>
      </c>
      <c r="C68" s="102" t="s">
        <v>57</v>
      </c>
      <c r="D68" s="102"/>
      <c r="E68" s="104">
        <v>26</v>
      </c>
      <c r="F68" s="102"/>
      <c r="G68" s="292"/>
      <c r="H68" s="292"/>
      <c r="I68" s="292"/>
      <c r="J68" s="142"/>
      <c r="K68" s="135">
        <f>IF((+G68-'Nº26 Ot Pas NO Fin'!C24)=0,0,"VERIFICAR")</f>
        <v>0</v>
      </c>
      <c r="L68" s="135">
        <f>IF((+H68-'Nº26 Ot Pas NO Fin'!E24)=0,0,"VERIFICAR")</f>
        <v>0</v>
      </c>
      <c r="M68" s="102"/>
      <c r="N68" s="102"/>
      <c r="O68" s="102"/>
      <c r="P68" s="102"/>
      <c r="Q68" s="102"/>
      <c r="R68" s="102"/>
      <c r="S68" s="102"/>
    </row>
    <row r="69" spans="1:19">
      <c r="A69" s="102"/>
      <c r="B69" s="140"/>
      <c r="C69" s="1224" t="s">
        <v>37</v>
      </c>
      <c r="D69" s="1224"/>
      <c r="E69" s="1224"/>
      <c r="F69" s="1224"/>
      <c r="G69" s="1228">
        <f>+SUM(G62:G68)</f>
        <v>0</v>
      </c>
      <c r="H69" s="1228">
        <f>+SUM(H62:H68)</f>
        <v>0</v>
      </c>
      <c r="I69" s="1228">
        <f>+SUM(I62:I68)</f>
        <v>0</v>
      </c>
      <c r="J69" s="142"/>
      <c r="K69" s="135"/>
      <c r="L69" s="135"/>
      <c r="M69" s="102"/>
      <c r="N69" s="102"/>
      <c r="O69" s="102"/>
      <c r="P69" s="102"/>
      <c r="Q69" s="102"/>
      <c r="R69" s="102"/>
      <c r="S69" s="102"/>
    </row>
    <row r="70" spans="1:19">
      <c r="A70" s="102"/>
      <c r="B70" s="140"/>
      <c r="C70" s="103"/>
      <c r="D70" s="103"/>
      <c r="E70" s="103"/>
      <c r="F70" s="103"/>
      <c r="G70" s="298"/>
      <c r="H70" s="298"/>
      <c r="I70" s="298"/>
      <c r="J70" s="142"/>
      <c r="K70" s="135"/>
      <c r="L70" s="135"/>
      <c r="M70" s="102"/>
      <c r="N70" s="102"/>
      <c r="O70" s="102"/>
      <c r="P70" s="102"/>
      <c r="Q70" s="102"/>
      <c r="R70" s="102"/>
      <c r="S70" s="102"/>
    </row>
    <row r="71" spans="1:19">
      <c r="A71" s="102"/>
      <c r="B71" s="140"/>
      <c r="C71" s="1224" t="s">
        <v>38</v>
      </c>
      <c r="D71" s="1224"/>
      <c r="E71" s="1224"/>
      <c r="F71" s="1224"/>
      <c r="G71" s="1228">
        <f>+G69+G58</f>
        <v>0</v>
      </c>
      <c r="H71" s="1228">
        <f>+H69+H58</f>
        <v>0</v>
      </c>
      <c r="I71" s="1228">
        <f>+I69+I58</f>
        <v>0</v>
      </c>
      <c r="J71" s="142"/>
      <c r="K71" s="135"/>
      <c r="L71" s="135"/>
      <c r="M71" s="102"/>
      <c r="N71" s="102"/>
      <c r="O71" s="102"/>
      <c r="P71" s="102"/>
      <c r="Q71" s="102"/>
      <c r="R71" s="102"/>
      <c r="S71" s="102"/>
    </row>
    <row r="72" spans="1:19">
      <c r="A72" s="102"/>
      <c r="B72" s="140"/>
      <c r="C72" s="103"/>
      <c r="D72" s="103"/>
      <c r="E72" s="103"/>
      <c r="F72" s="103"/>
      <c r="G72" s="298"/>
      <c r="H72" s="298"/>
      <c r="I72" s="298"/>
      <c r="J72" s="142"/>
      <c r="K72" s="135"/>
      <c r="L72" s="135"/>
      <c r="M72" s="102"/>
      <c r="N72" s="102"/>
      <c r="O72" s="102"/>
      <c r="P72" s="102"/>
      <c r="Q72" s="102"/>
      <c r="R72" s="102"/>
      <c r="S72" s="102"/>
    </row>
    <row r="73" spans="1:19">
      <c r="A73" s="102"/>
      <c r="B73" s="140"/>
      <c r="C73" s="103" t="s">
        <v>39</v>
      </c>
      <c r="D73" s="102"/>
      <c r="E73" s="102"/>
      <c r="F73" s="102"/>
      <c r="G73" s="295"/>
      <c r="H73" s="295"/>
      <c r="I73" s="295"/>
      <c r="J73" s="142"/>
      <c r="K73" s="135"/>
      <c r="L73" s="135"/>
      <c r="M73" s="102"/>
      <c r="N73" s="102"/>
      <c r="O73" s="102"/>
      <c r="P73" s="102"/>
      <c r="Q73" s="102"/>
      <c r="R73" s="102"/>
      <c r="S73" s="102"/>
    </row>
    <row r="74" spans="1:19">
      <c r="A74" s="102"/>
      <c r="B74" s="140"/>
      <c r="C74" s="103"/>
      <c r="D74" s="102"/>
      <c r="E74" s="102"/>
      <c r="F74" s="102"/>
      <c r="G74" s="295"/>
      <c r="H74" s="295"/>
      <c r="I74" s="295"/>
      <c r="J74" s="142"/>
      <c r="K74" s="135"/>
      <c r="L74" s="135"/>
      <c r="M74" s="102"/>
      <c r="N74" s="102"/>
      <c r="O74" s="102"/>
      <c r="P74" s="102"/>
      <c r="Q74" s="102"/>
      <c r="R74" s="102"/>
      <c r="S74" s="102"/>
    </row>
    <row r="75" spans="1:19">
      <c r="A75" s="102"/>
      <c r="B75" s="140">
        <v>23010</v>
      </c>
      <c r="C75" s="102" t="s">
        <v>1106</v>
      </c>
      <c r="D75" s="102"/>
      <c r="E75" s="102"/>
      <c r="F75" s="102"/>
      <c r="G75" s="292"/>
      <c r="H75" s="292"/>
      <c r="I75" s="292"/>
      <c r="J75" s="142"/>
      <c r="K75" s="135">
        <f>IF((+G75-'Mov Patrimonial'!C25)=0,0, "VERIFICAR")</f>
        <v>0</v>
      </c>
      <c r="L75" s="135">
        <f>IF((+H75-'Mov Patrimonial'!C51)=0,0, "VERIFICAR")</f>
        <v>0</v>
      </c>
      <c r="M75" s="102"/>
      <c r="N75" s="102"/>
      <c r="O75" s="102"/>
      <c r="P75" s="102"/>
      <c r="Q75" s="102"/>
      <c r="R75" s="102"/>
      <c r="S75" s="102"/>
    </row>
    <row r="76" spans="1:19">
      <c r="A76" s="102"/>
      <c r="B76" s="140">
        <v>23020</v>
      </c>
      <c r="C76" s="102" t="s">
        <v>40</v>
      </c>
      <c r="D76" s="102"/>
      <c r="E76" s="102"/>
      <c r="F76" s="102"/>
      <c r="G76" s="292"/>
      <c r="H76" s="292"/>
      <c r="I76" s="292"/>
      <c r="J76" s="142"/>
      <c r="K76" s="135">
        <f>IF((+G76-'Mov Patrimonial'!G25+'Mov Patrimonial'!G18)=0,0, "VERIFICAR")</f>
        <v>0</v>
      </c>
      <c r="L76" s="135">
        <f>IF((+H76-'Mov Patrimonial'!G51+'Mov Patrimonial'!G44)=0,0, "VERIFICAR")</f>
        <v>0</v>
      </c>
      <c r="M76" s="102"/>
      <c r="N76" s="102"/>
      <c r="O76" s="102"/>
      <c r="P76" s="102"/>
      <c r="Q76" s="102"/>
      <c r="R76" s="102"/>
      <c r="S76" s="102"/>
    </row>
    <row r="77" spans="1:19">
      <c r="A77" s="102"/>
      <c r="B77" s="140">
        <v>23030</v>
      </c>
      <c r="C77" s="102" t="s">
        <v>41</v>
      </c>
      <c r="D77" s="102"/>
      <c r="E77" s="102"/>
      <c r="F77" s="102"/>
      <c r="G77" s="292"/>
      <c r="H77" s="292"/>
      <c r="I77" s="292"/>
      <c r="J77" s="142"/>
      <c r="K77" s="135">
        <f>IF((+G77-'Mov Patrimonial'!D25)=0,0, "VERIFICAR")</f>
        <v>0</v>
      </c>
      <c r="L77" s="135">
        <f>IF((+H77-'Mov Patrimonial'!D51)=0,0, "VERIFICAR")</f>
        <v>0</v>
      </c>
      <c r="M77" s="102"/>
      <c r="N77" s="102"/>
      <c r="O77" s="102"/>
      <c r="P77" s="102"/>
      <c r="Q77" s="102"/>
      <c r="R77" s="102"/>
      <c r="S77" s="102"/>
    </row>
    <row r="78" spans="1:19">
      <c r="A78" s="102"/>
      <c r="B78" s="140">
        <v>23040</v>
      </c>
      <c r="C78" s="102" t="s">
        <v>42</v>
      </c>
      <c r="D78" s="102"/>
      <c r="E78" s="102"/>
      <c r="F78" s="102"/>
      <c r="G78" s="292"/>
      <c r="H78" s="292"/>
      <c r="I78" s="292"/>
      <c r="J78" s="142"/>
      <c r="K78" s="135">
        <f>IF((+G78-'Mov Patrimonial'!F25)=0,0, "VERIFICAR")</f>
        <v>0</v>
      </c>
      <c r="L78" s="135">
        <f>IF((+H78-'Mov Patrimonial'!F51)=0,0, "VERIFICAR")</f>
        <v>0</v>
      </c>
      <c r="M78" s="102"/>
      <c r="N78" s="102"/>
      <c r="O78" s="102"/>
      <c r="P78" s="102"/>
      <c r="Q78" s="102"/>
      <c r="R78" s="102"/>
      <c r="S78" s="102"/>
    </row>
    <row r="79" spans="1:19">
      <c r="A79" s="102"/>
      <c r="B79" s="140">
        <v>23050</v>
      </c>
      <c r="C79" s="102" t="s">
        <v>43</v>
      </c>
      <c r="D79" s="102"/>
      <c r="E79" s="102"/>
      <c r="F79" s="102"/>
      <c r="G79" s="292"/>
      <c r="H79" s="292"/>
      <c r="I79" s="292"/>
      <c r="J79" s="142"/>
      <c r="K79" s="135">
        <f>IF((+G79-'Mov Patrimonial'!G18)=0,0, "VERIFICAR")</f>
        <v>0</v>
      </c>
      <c r="L79" s="135">
        <f>IF((+H79-'Mov Patrimonial'!G44)=0,0, "VERIFICAR")</f>
        <v>0</v>
      </c>
      <c r="M79" s="102"/>
      <c r="N79" s="102"/>
      <c r="O79" s="102"/>
      <c r="P79" s="102"/>
      <c r="Q79" s="102"/>
      <c r="R79" s="102"/>
      <c r="S79" s="102"/>
    </row>
    <row r="80" spans="1:19">
      <c r="A80" s="102"/>
      <c r="B80" s="140"/>
      <c r="C80" s="1224" t="s">
        <v>61</v>
      </c>
      <c r="D80" s="1224"/>
      <c r="E80" s="1224"/>
      <c r="F80" s="1224"/>
      <c r="G80" s="1228">
        <f>+SUM(G75:G79)</f>
        <v>0</v>
      </c>
      <c r="H80" s="1228">
        <f>+SUM(H75:H79)</f>
        <v>0</v>
      </c>
      <c r="I80" s="1228">
        <f>+SUM(I75:I79)</f>
        <v>0</v>
      </c>
      <c r="J80" s="142"/>
      <c r="K80" s="135"/>
      <c r="L80" s="135"/>
      <c r="M80" s="102"/>
      <c r="N80" s="102"/>
      <c r="O80" s="102"/>
      <c r="P80" s="102"/>
      <c r="Q80" s="102"/>
      <c r="R80" s="102"/>
      <c r="S80" s="102"/>
    </row>
    <row r="81" spans="1:19">
      <c r="A81" s="102"/>
      <c r="B81" s="140">
        <v>23070</v>
      </c>
      <c r="C81" s="102" t="s">
        <v>45</v>
      </c>
      <c r="D81" s="102"/>
      <c r="E81" s="102"/>
      <c r="F81" s="102"/>
      <c r="G81" s="292"/>
      <c r="H81" s="292"/>
      <c r="I81" s="292"/>
      <c r="J81" s="142"/>
      <c r="K81" s="135"/>
      <c r="L81" s="135"/>
      <c r="M81" s="102"/>
      <c r="N81" s="102"/>
      <c r="O81" s="102"/>
      <c r="P81" s="102"/>
      <c r="Q81" s="102"/>
      <c r="R81" s="102"/>
      <c r="S81" s="102"/>
    </row>
    <row r="82" spans="1:19">
      <c r="A82" s="102"/>
      <c r="B82" s="140"/>
      <c r="C82" s="1224" t="s">
        <v>46</v>
      </c>
      <c r="D82" s="1224"/>
      <c r="E82" s="1224"/>
      <c r="F82" s="1224"/>
      <c r="G82" s="1228">
        <f>+SUM(G80:G81)</f>
        <v>0</v>
      </c>
      <c r="H82" s="1228">
        <f>+SUM(H80:H81)</f>
        <v>0</v>
      </c>
      <c r="I82" s="1228">
        <f>+SUM(I80:I81)</f>
        <v>0</v>
      </c>
      <c r="J82" s="142"/>
      <c r="K82" s="135"/>
      <c r="L82" s="135"/>
      <c r="M82" s="102"/>
      <c r="N82" s="102"/>
      <c r="O82" s="102"/>
      <c r="P82" s="102"/>
      <c r="Q82" s="102"/>
      <c r="R82" s="102"/>
      <c r="S82" s="102"/>
    </row>
    <row r="83" spans="1:19">
      <c r="A83" s="102"/>
      <c r="B83" s="140"/>
      <c r="C83" s="102"/>
      <c r="D83" s="102"/>
      <c r="E83" s="102"/>
      <c r="F83" s="102"/>
      <c r="G83" s="295"/>
      <c r="H83" s="295"/>
      <c r="I83" s="295"/>
      <c r="J83" s="142"/>
      <c r="K83" s="135"/>
      <c r="L83" s="135"/>
      <c r="M83" s="102"/>
      <c r="N83" s="102"/>
      <c r="O83" s="102"/>
      <c r="P83" s="102"/>
      <c r="Q83" s="102"/>
      <c r="R83" s="102"/>
      <c r="S83" s="102"/>
    </row>
    <row r="84" spans="1:19">
      <c r="A84" s="102"/>
      <c r="B84" s="148"/>
      <c r="C84" s="1224" t="s">
        <v>47</v>
      </c>
      <c r="D84" s="1224"/>
      <c r="E84" s="1224"/>
      <c r="F84" s="1224"/>
      <c r="G84" s="1228">
        <f>+G82+G71</f>
        <v>0</v>
      </c>
      <c r="H84" s="1228">
        <f>+H82+H71</f>
        <v>0</v>
      </c>
      <c r="I84" s="1228">
        <f>+I82+I71</f>
        <v>0</v>
      </c>
      <c r="J84" s="142"/>
      <c r="K84" s="135"/>
      <c r="L84" s="135"/>
      <c r="M84" s="102"/>
      <c r="N84" s="102"/>
      <c r="O84" s="102"/>
      <c r="P84" s="102"/>
      <c r="Q84" s="102"/>
      <c r="R84" s="102"/>
      <c r="S84" s="102"/>
    </row>
    <row r="85" spans="1:19">
      <c r="A85" s="102"/>
      <c r="B85" s="102"/>
      <c r="C85" s="102"/>
      <c r="D85" s="102"/>
      <c r="E85" s="102"/>
      <c r="F85" s="102"/>
      <c r="G85" s="301"/>
      <c r="H85" s="301"/>
      <c r="I85" s="301"/>
      <c r="J85" s="142"/>
      <c r="K85" s="135"/>
      <c r="L85" s="135"/>
      <c r="M85" s="102"/>
      <c r="N85" s="102"/>
      <c r="O85" s="102"/>
      <c r="P85" s="102"/>
      <c r="Q85" s="102"/>
      <c r="R85" s="102"/>
      <c r="S85" s="102"/>
    </row>
    <row r="86" spans="1:19">
      <c r="A86" s="102"/>
      <c r="B86" s="102"/>
      <c r="C86" s="106" t="s">
        <v>201</v>
      </c>
      <c r="D86" s="149"/>
      <c r="E86" s="149"/>
      <c r="F86" s="149"/>
      <c r="G86" s="302">
        <f>+G39-G84</f>
        <v>0</v>
      </c>
      <c r="H86" s="302">
        <f>+H39-H84</f>
        <v>0</v>
      </c>
      <c r="I86" s="302">
        <f>+I39-I84</f>
        <v>307800</v>
      </c>
      <c r="J86" s="142"/>
      <c r="K86" s="135"/>
      <c r="L86" s="135"/>
      <c r="M86" s="102"/>
      <c r="N86" s="102"/>
      <c r="O86" s="102"/>
      <c r="P86" s="102"/>
      <c r="Q86" s="102"/>
      <c r="R86" s="102"/>
      <c r="S86" s="102"/>
    </row>
    <row r="87" spans="1:19" s="102" customFormat="1">
      <c r="G87" s="301"/>
      <c r="H87" s="301"/>
      <c r="I87" s="301"/>
      <c r="J87" s="142"/>
      <c r="K87" s="135"/>
      <c r="L87" s="135"/>
    </row>
    <row r="88" spans="1:19" s="102" customFormat="1">
      <c r="G88" s="142"/>
      <c r="H88" s="142"/>
      <c r="I88" s="142"/>
      <c r="J88" s="142"/>
      <c r="K88" s="135"/>
      <c r="L88" s="135"/>
    </row>
    <row r="89" spans="1:19" s="102" customFormat="1">
      <c r="G89" s="142"/>
      <c r="H89" s="142"/>
      <c r="I89" s="142"/>
      <c r="J89" s="142"/>
      <c r="K89" s="135"/>
      <c r="L89" s="135"/>
    </row>
    <row r="90" spans="1:19" s="102" customFormat="1">
      <c r="G90" s="142"/>
      <c r="H90" s="142"/>
      <c r="I90" s="142"/>
      <c r="J90" s="142"/>
      <c r="K90" s="135"/>
      <c r="L90" s="135"/>
    </row>
    <row r="91" spans="1:19" s="102" customFormat="1">
      <c r="G91" s="142"/>
      <c r="H91" s="142"/>
      <c r="I91" s="142"/>
      <c r="J91" s="142"/>
      <c r="K91" s="135"/>
      <c r="L91" s="135"/>
    </row>
    <row r="92" spans="1:19" s="102" customFormat="1">
      <c r="G92" s="142"/>
      <c r="H92" s="142"/>
      <c r="I92" s="142"/>
      <c r="J92" s="142"/>
      <c r="K92" s="135"/>
      <c r="L92" s="135"/>
    </row>
    <row r="93" spans="1:19" s="102" customFormat="1">
      <c r="G93" s="142"/>
      <c r="H93" s="142"/>
      <c r="I93" s="142"/>
      <c r="J93" s="142"/>
      <c r="K93" s="135"/>
      <c r="L93" s="135"/>
    </row>
    <row r="94" spans="1:19" s="102" customFormat="1">
      <c r="G94" s="142"/>
      <c r="H94" s="142"/>
      <c r="I94" s="142"/>
      <c r="J94" s="142"/>
      <c r="K94" s="135"/>
      <c r="L94" s="135"/>
    </row>
    <row r="95" spans="1:19" s="102" customFormat="1">
      <c r="G95" s="142"/>
      <c r="H95" s="142"/>
      <c r="I95" s="142"/>
      <c r="J95" s="142"/>
      <c r="K95" s="135"/>
      <c r="L95" s="135"/>
    </row>
    <row r="96" spans="1:19" s="102" customFormat="1">
      <c r="G96" s="142"/>
      <c r="H96" s="142"/>
      <c r="I96" s="142"/>
      <c r="J96" s="142"/>
      <c r="K96" s="135"/>
      <c r="L96" s="135"/>
    </row>
    <row r="97" spans="1:12" s="102" customFormat="1">
      <c r="G97" s="142"/>
      <c r="H97" s="142"/>
      <c r="I97" s="142"/>
      <c r="J97" s="142"/>
      <c r="K97" s="135"/>
      <c r="L97" s="135"/>
    </row>
    <row r="98" spans="1:12" s="102" customFormat="1">
      <c r="G98" s="142"/>
      <c r="H98" s="142"/>
      <c r="I98" s="142"/>
      <c r="J98" s="142"/>
      <c r="K98" s="135"/>
      <c r="L98" s="135"/>
    </row>
    <row r="99" spans="1:12" s="102" customFormat="1">
      <c r="G99" s="142"/>
      <c r="H99" s="142"/>
      <c r="I99" s="142"/>
      <c r="J99" s="142"/>
      <c r="K99" s="135"/>
      <c r="L99" s="135"/>
    </row>
    <row r="100" spans="1:12" s="102" customFormat="1">
      <c r="G100" s="142"/>
      <c r="H100" s="142"/>
      <c r="I100" s="142"/>
      <c r="J100" s="142"/>
      <c r="K100" s="135"/>
      <c r="L100" s="135"/>
    </row>
    <row r="101" spans="1:12" s="102" customFormat="1">
      <c r="G101" s="142"/>
      <c r="H101" s="142"/>
      <c r="I101" s="142"/>
      <c r="J101" s="142"/>
      <c r="K101" s="135"/>
      <c r="L101" s="135"/>
    </row>
    <row r="102" spans="1:12" s="102" customFormat="1">
      <c r="G102" s="142"/>
      <c r="H102" s="142"/>
      <c r="I102" s="142"/>
      <c r="J102" s="142"/>
      <c r="K102" s="135"/>
      <c r="L102" s="135"/>
    </row>
    <row r="103" spans="1:12" s="102" customFormat="1">
      <c r="G103" s="142"/>
      <c r="H103" s="142"/>
      <c r="I103" s="142"/>
      <c r="J103" s="142"/>
      <c r="K103" s="135"/>
      <c r="L103" s="135"/>
    </row>
    <row r="104" spans="1:12" s="102" customFormat="1">
      <c r="G104" s="142"/>
      <c r="H104" s="142"/>
      <c r="I104" s="142"/>
      <c r="J104" s="142"/>
      <c r="K104" s="135"/>
      <c r="L104" s="135"/>
    </row>
    <row r="105" spans="1:12" s="102" customFormat="1">
      <c r="G105" s="142"/>
      <c r="H105" s="142"/>
      <c r="I105" s="142"/>
      <c r="J105" s="142"/>
      <c r="K105" s="135"/>
      <c r="L105" s="135"/>
    </row>
    <row r="106" spans="1:12" s="102" customFormat="1">
      <c r="G106" s="142"/>
      <c r="H106" s="142"/>
      <c r="I106" s="142"/>
      <c r="J106" s="142"/>
      <c r="K106" s="135"/>
      <c r="L106" s="135"/>
    </row>
    <row r="107" spans="1:12">
      <c r="A107" s="102"/>
      <c r="G107" s="150"/>
      <c r="H107" s="150"/>
      <c r="I107" s="150"/>
      <c r="J107" s="150"/>
    </row>
    <row r="108" spans="1:12">
      <c r="G108" s="150"/>
      <c r="H108" s="150"/>
      <c r="I108" s="150"/>
      <c r="J108" s="150"/>
    </row>
    <row r="109" spans="1:12">
      <c r="G109" s="150"/>
      <c r="H109" s="150"/>
      <c r="I109" s="150"/>
      <c r="J109" s="150"/>
    </row>
    <row r="110" spans="1:12">
      <c r="G110" s="150"/>
      <c r="H110" s="150"/>
      <c r="I110" s="150"/>
      <c r="J110" s="150"/>
    </row>
    <row r="111" spans="1:12">
      <c r="G111" s="150"/>
      <c r="H111" s="150"/>
      <c r="I111" s="150"/>
      <c r="J111" s="150"/>
    </row>
    <row r="112" spans="1:12">
      <c r="G112" s="152"/>
      <c r="H112" s="152"/>
      <c r="I112" s="152"/>
    </row>
    <row r="113" spans="7:9">
      <c r="G113" s="152"/>
      <c r="H113" s="152"/>
      <c r="I113" s="152"/>
    </row>
    <row r="114" spans="7:9">
      <c r="G114" s="152"/>
      <c r="H114" s="152"/>
      <c r="I114" s="152"/>
    </row>
  </sheetData>
  <mergeCells count="1">
    <mergeCell ref="B4:B5"/>
  </mergeCells>
  <conditionalFormatting sqref="K9:L16 K27:L36 K46:L52 K62:L69 K75:L79">
    <cfRule type="containsText" dxfId="1" priority="17" operator="containsText" text="VERIFICAR">
      <formula>NOT(ISERROR(SEARCH("VERIFICAR",K9)))</formula>
    </cfRule>
  </conditionalFormatting>
  <dataValidations count="3">
    <dataValidation type="whole" allowBlank="1" showInputMessage="1" showErrorMessage="1" sqref="G69:I74 G80:I86" xr:uid="{00000000-0002-0000-0100-000000000000}">
      <formula1>0</formula1>
      <formula2>100000000000000000000</formula2>
    </dataValidation>
    <dataValidation type="whole" allowBlank="1" showInputMessage="1" showErrorMessage="1" sqref="G75:I79" xr:uid="{00000000-0002-0000-0100-000001000000}">
      <formula1>-9.99999999999999E+30</formula1>
      <formula2>9.99999999999999E+35</formula2>
    </dataValidation>
    <dataValidation type="whole" allowBlank="1" showInputMessage="1" showErrorMessage="1" sqref="G9:I68" xr:uid="{00000000-0002-0000-0100-000002000000}">
      <formula1>-9.99999999999999E+34</formula1>
      <formula2>9.99999999999999E+35</formula2>
    </dataValidation>
  </dataValidations>
  <hyperlinks>
    <hyperlink ref="E9" location="'Nº8a efec y eq'!A1" display="'Nº8a efec y eq'!A1" xr:uid="{00000000-0004-0000-0100-000000000000}"/>
    <hyperlink ref="E12" location="'Nº12 Deu Com y otxcob cte'!A1" display="'Nº12 Deu Com y otxcob cte'!A1" xr:uid="{00000000-0004-0000-0100-000005000000}"/>
    <hyperlink ref="E10" location="'Nº13 O Act Fin'!A1" display="'Nº13 O Act Fin'!A1" xr:uid="{00000000-0004-0000-0100-000006000000}"/>
    <hyperlink ref="E30" location="'Nº14 a) Inversion en soc'!A1" display="'Nº14 a) Inversion en soc'!A1" xr:uid="{00000000-0004-0000-0100-000007000000}"/>
    <hyperlink ref="E14" location="'Nº15 Inventario'!A1" display="'Nº15 Inventario'!A1" xr:uid="{00000000-0004-0000-0100-000008000000}"/>
    <hyperlink ref="E13" location="'Nº16a ctas EERR'!A1" display="'Nº16a ctas EERR'!A1" xr:uid="{00000000-0004-0000-0100-000009000000}"/>
    <hyperlink ref="E29" location="'Nº16a ctas EERR'!A1" display="'Nº16a ctas EERR'!A1" xr:uid="{00000000-0004-0000-0100-00000A000000}"/>
    <hyperlink ref="E31" location="'Nº17 Intangible'!A1" display="'Nº17 Intangible'!A1" xr:uid="{00000000-0004-0000-0100-00000B000000}"/>
    <hyperlink ref="E33" location="'Nº18 Pr Plt Eq'!A1" display="'Nº18 Pr Plt Eq'!A1" xr:uid="{00000000-0004-0000-0100-00000C000000}"/>
    <hyperlink ref="E16" location="'Nº19 Imp cte y dif'!A1" display="'Nº19 Imp cte y dif'!A1" xr:uid="{00000000-0004-0000-0100-00000D000000}"/>
    <hyperlink ref="E36" location="'Nº19 Imp cte y dif'!A40" display="'Nº19 Imp cte y dif'!A40" xr:uid="{00000000-0004-0000-0100-00000E000000}"/>
    <hyperlink ref="E66" location="'Nº19 Imp cte y dif'!A40" display="'Nº19 Imp cte y dif'!A40" xr:uid="{00000000-0004-0000-0100-00000F000000}"/>
    <hyperlink ref="E50" location="'Nº19 Imp cte y dif'!A1" display="'Nº19 Imp cte y dif'!A1" xr:uid="{00000000-0004-0000-0100-000010000000}"/>
    <hyperlink ref="E11" location="'Nº21 Ot Act NO fin'!A1" display="'Nº21 Ot Act NO fin'!A1" xr:uid="{00000000-0004-0000-0100-000012000000}"/>
    <hyperlink ref="E27" location="'Nº21 Ot Act NO fin'!A22" display="'Nº21 Ot Act NO fin'!A22" xr:uid="{00000000-0004-0000-0100-000013000000}"/>
    <hyperlink ref="E46" location="'Nº23a Ot Pas Fin'!A1" display="'Nº23a Ot Pas Fin'!A1" xr:uid="{00000000-0004-0000-0100-000016000000}"/>
    <hyperlink ref="E62" location="'Nº23a Ot Pas Fin'!A20" display="'Nº23a Ot Pas Fin'!A20" xr:uid="{00000000-0004-0000-0100-000017000000}"/>
    <hyperlink ref="E47" location="'Nº24 Cta x pag comerciales'!A1" display="'Nº24 Cta x pag comerciales'!A1" xr:uid="{00000000-0004-0000-0100-000018000000}"/>
    <hyperlink ref="E52" location="'Nº26 Ot Pas NO Fin'!A1" display="'Nº26 Ot Pas NO Fin'!A1" xr:uid="{00000000-0004-0000-0100-000019000000}"/>
    <hyperlink ref="E49" location="'Nº27 Ot Prov'!A1" display="'Nº27 Ot Prov'!A1" xr:uid="{00000000-0004-0000-0100-00001A000000}"/>
    <hyperlink ref="E65" location="'Nº27 Ot Prov'!A17" display="'Nº27 Ot Prov'!A17" xr:uid="{00000000-0004-0000-0100-00001B000000}"/>
    <hyperlink ref="E48" location="'Nº16a ctas EERR'!A1" display="'Nº16a ctas EERR'!A1" xr:uid="{00000000-0004-0000-0100-00001C000000}"/>
    <hyperlink ref="E64" location="'Nº16a ctas EERR'!A1" display="'Nº16a ctas EERR'!A1" xr:uid="{00000000-0004-0000-0100-00001D000000}"/>
    <hyperlink ref="E68" location="'Nº26 Ot Pas NO Fin'!A16" display="'Nº26 Ot Pas NO Fin'!A16" xr:uid="{00000000-0004-0000-0100-00001E000000}"/>
    <hyperlink ref="E28" location="'Nº12 Deu Com y otxcob cte'!A1" display="'Nº12 Deu Com y otxcob cte'!A1" xr:uid="{00000000-0004-0000-0100-00001F000000}"/>
    <hyperlink ref="E32" location="'Nº39 Plusvalia'!A1" display="'Nº39 Plusvalia'!A1" xr:uid="{00000000-0004-0000-0100-000020000000}"/>
    <hyperlink ref="E51" location="'Nº40 Benf a los empl'!A1" display="'Nº40 Benf a los empl'!A1" xr:uid="{00000000-0004-0000-0100-000021000000}"/>
    <hyperlink ref="E67" location="'Nº40 Benf a los empl'!A1" display="'Nº40 Benf a los empl'!A1" xr:uid="{00000000-0004-0000-0100-000022000000}"/>
    <hyperlink ref="E63" location="'Nº24 Cta x pag comerciales'!A1" display="'Nº24 Cta x pag comerciales'!A1" xr:uid="{00000000-0004-0000-0100-000023000000}"/>
  </hyperlinks>
  <pageMargins left="0.70866141732283472" right="0.70866141732283472" top="0.74803149606299213" bottom="0.74803149606299213" header="0.31496062992125984" footer="0.31496062992125984"/>
  <pageSetup scale="53" orientation="portrait" horizontalDpi="200" verticalDpi="200" r:id="rId1"/>
  <rowBreaks count="1" manualBreakCount="1">
    <brk id="40" max="16383" man="1"/>
  </rowBreaks>
  <ignoredErrors>
    <ignoredError sqref="I17:I2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BA6D-D01C-4166-BB78-3582D82583BD}">
  <dimension ref="B1:N57"/>
  <sheetViews>
    <sheetView topLeftCell="A20" zoomScale="120" zoomScaleNormal="120" workbookViewId="0">
      <selection activeCell="E32" sqref="E32:F34"/>
    </sheetView>
  </sheetViews>
  <sheetFormatPr baseColWidth="10" defaultColWidth="10.86328125" defaultRowHeight="15"/>
  <cols>
    <col min="1" max="1" width="1.265625" style="1450" customWidth="1"/>
    <col min="2" max="2" width="53.46484375" style="1450" bestFit="1" customWidth="1"/>
    <col min="3" max="3" width="22" style="1654" customWidth="1"/>
    <col min="4" max="4" width="16.53125" style="1468" customWidth="1"/>
    <col min="5" max="5" width="21" style="1654" customWidth="1"/>
    <col min="6" max="6" width="18.53125" style="1450" customWidth="1"/>
    <col min="7" max="7" width="13.1328125" style="1450" bestFit="1" customWidth="1"/>
    <col min="8" max="8" width="16.53125" style="1449" bestFit="1" customWidth="1"/>
    <col min="9" max="9" width="14.6640625" style="1449" customWidth="1"/>
    <col min="10" max="10" width="15" style="1450" bestFit="1" customWidth="1"/>
    <col min="11" max="11" width="14.19921875" style="1449" bestFit="1" customWidth="1"/>
    <col min="12" max="12" width="16.6640625" style="1450" bestFit="1" customWidth="1"/>
    <col min="13" max="13" width="14.86328125" style="1450" bestFit="1" customWidth="1"/>
    <col min="14" max="14" width="15" style="1450" bestFit="1" customWidth="1"/>
    <col min="15" max="16384" width="10.86328125" style="1450"/>
  </cols>
  <sheetData>
    <row r="1" spans="2:11" ht="15.4" thickBot="1"/>
    <row r="2" spans="2:11">
      <c r="B2" s="1643"/>
      <c r="C2" s="1644"/>
      <c r="D2" s="1643"/>
      <c r="E2" s="1645"/>
      <c r="F2" s="1646" t="s">
        <v>1474</v>
      </c>
    </row>
    <row r="3" spans="2:11" ht="15.4" thickBot="1">
      <c r="B3" s="2031" t="s">
        <v>934</v>
      </c>
      <c r="C3" s="2031"/>
      <c r="D3" s="2031"/>
      <c r="E3" s="1647"/>
      <c r="F3" s="1648" t="s">
        <v>1299</v>
      </c>
    </row>
    <row r="4" spans="2:11">
      <c r="B4" s="2031"/>
      <c r="C4" s="2031"/>
      <c r="D4" s="2031"/>
      <c r="E4" s="1649" t="s">
        <v>1475</v>
      </c>
      <c r="F4" s="1645" t="s">
        <v>1698</v>
      </c>
    </row>
    <row r="5" spans="2:11">
      <c r="B5" s="2032" t="s">
        <v>1639</v>
      </c>
      <c r="C5" s="2032"/>
      <c r="D5" s="2033"/>
      <c r="E5" s="1650" t="s">
        <v>1476</v>
      </c>
      <c r="F5" s="1645" t="s">
        <v>1699</v>
      </c>
    </row>
    <row r="6" spans="2:11">
      <c r="B6" s="2034" t="s">
        <v>1477</v>
      </c>
      <c r="C6" s="2034"/>
      <c r="D6" s="2035"/>
      <c r="E6" s="1650" t="s">
        <v>1478</v>
      </c>
      <c r="F6" s="1651"/>
    </row>
    <row r="7" spans="2:11" ht="15.4" thickBot="1">
      <c r="B7" s="2034"/>
      <c r="C7" s="2034"/>
      <c r="D7" s="2035"/>
      <c r="E7" s="1652" t="s">
        <v>1476</v>
      </c>
      <c r="F7" s="1653"/>
    </row>
    <row r="8" spans="2:11" ht="15.4" thickBot="1"/>
    <row r="9" spans="2:11" ht="124.8" customHeight="1" thickBot="1">
      <c r="B9" s="2036" t="s">
        <v>1479</v>
      </c>
      <c r="C9" s="2037"/>
      <c r="D9" s="2037"/>
      <c r="E9" s="2037"/>
      <c r="F9" s="2038"/>
    </row>
    <row r="10" spans="2:11" ht="15.4" thickBot="1"/>
    <row r="11" spans="2:11" s="1802" customFormat="1" ht="45" customHeight="1">
      <c r="B11" s="2039" t="s">
        <v>1480</v>
      </c>
      <c r="C11" s="2040"/>
      <c r="D11" s="2040"/>
      <c r="E11" s="2040"/>
      <c r="F11" s="2041"/>
      <c r="H11" s="1811"/>
      <c r="I11" s="1811"/>
      <c r="K11" s="1811"/>
    </row>
    <row r="12" spans="2:11" ht="197.65" customHeight="1">
      <c r="B12" s="2042" t="s">
        <v>1640</v>
      </c>
      <c r="C12" s="2043"/>
      <c r="D12" s="2043"/>
      <c r="E12" s="2043"/>
      <c r="F12" s="2044"/>
    </row>
    <row r="13" spans="2:11" ht="9.75" customHeight="1">
      <c r="B13" s="1655"/>
      <c r="C13" s="1656"/>
      <c r="E13" s="1656"/>
      <c r="F13" s="1657"/>
    </row>
    <row r="14" spans="2:11" ht="116.25" customHeight="1">
      <c r="B14" s="2045" t="s">
        <v>1641</v>
      </c>
      <c r="C14" s="2046"/>
      <c r="D14" s="2046"/>
      <c r="E14" s="2046"/>
      <c r="F14" s="2047"/>
    </row>
    <row r="15" spans="2:11" ht="15.4" thickBot="1">
      <c r="B15" s="1658"/>
      <c r="C15" s="1659"/>
      <c r="D15" s="1660"/>
      <c r="E15" s="1659"/>
      <c r="F15" s="1661"/>
    </row>
    <row r="16" spans="2:11" ht="15.4" thickBot="1"/>
    <row r="17" spans="2:14" ht="178.15" customHeight="1" thickBot="1">
      <c r="B17" s="2048" t="s">
        <v>1481</v>
      </c>
      <c r="C17" s="2049"/>
      <c r="D17" s="2049"/>
      <c r="E17" s="2049"/>
      <c r="F17" s="2050"/>
    </row>
    <row r="19" spans="2:14" ht="15.4" thickBot="1"/>
    <row r="20" spans="2:14" ht="19.149999999999999" thickBot="1">
      <c r="B20" s="1208" t="s">
        <v>1052</v>
      </c>
      <c r="C20" s="1209" t="s">
        <v>1061</v>
      </c>
      <c r="D20" s="1210" t="s">
        <v>509</v>
      </c>
      <c r="E20" s="2051" t="s">
        <v>1299</v>
      </c>
      <c r="F20" s="2052"/>
      <c r="H20" s="1980" t="s">
        <v>1702</v>
      </c>
      <c r="I20" s="1981" t="s">
        <v>1346</v>
      </c>
      <c r="J20" s="1982" t="s">
        <v>1318</v>
      </c>
      <c r="K20" s="1450"/>
      <c r="L20" s="1980" t="s">
        <v>1704</v>
      </c>
      <c r="M20" s="1981" t="s">
        <v>1346</v>
      </c>
      <c r="N20" s="1982" t="s">
        <v>1318</v>
      </c>
    </row>
    <row r="21" spans="2:14" ht="19.149999999999999" thickBot="1">
      <c r="B21" s="1973" t="s">
        <v>1309</v>
      </c>
      <c r="C21" s="1974">
        <f>+'Bce Clasificado 31.12.2024'!D213-'Bce Clasificado 31.12.2024'!D211</f>
        <v>946213492</v>
      </c>
      <c r="D21" s="1975">
        <v>0.05</v>
      </c>
      <c r="E21" s="2053" t="s">
        <v>1700</v>
      </c>
      <c r="F21" s="2053"/>
      <c r="H21" s="1977">
        <v>150000000</v>
      </c>
      <c r="I21" s="1979">
        <v>320000000</v>
      </c>
      <c r="J21" s="1978">
        <v>290000000</v>
      </c>
      <c r="K21" s="1450"/>
      <c r="L21" s="1977">
        <v>150000000</v>
      </c>
      <c r="M21" s="1979">
        <v>320000000</v>
      </c>
      <c r="N21" s="1978">
        <v>290000000</v>
      </c>
    </row>
    <row r="22" spans="2:14" ht="19.149999999999999" thickBot="1">
      <c r="B22" s="1662" t="s">
        <v>1482</v>
      </c>
      <c r="C22" s="1663">
        <f>+'Bce Clasificado 31.12.2024'!D132</f>
        <v>4897614180</v>
      </c>
      <c r="D22" s="1664">
        <v>5.0000000000000001E-3</v>
      </c>
      <c r="E22" s="2054">
        <f>+C22*D22</f>
        <v>24488070.900000002</v>
      </c>
      <c r="F22" s="2055"/>
      <c r="G22" s="1654" t="s">
        <v>1703</v>
      </c>
      <c r="H22" s="1983">
        <f>+H21/9</f>
        <v>16666666.666666666</v>
      </c>
      <c r="I22" s="1976"/>
      <c r="J22" s="1976"/>
      <c r="K22" s="1654" t="s">
        <v>1703</v>
      </c>
      <c r="L22" s="1983">
        <f>+L21/6</f>
        <v>25000000</v>
      </c>
      <c r="M22" s="1976"/>
      <c r="N22" s="1976"/>
    </row>
    <row r="23" spans="2:14" ht="19.149999999999999" thickBot="1">
      <c r="B23" s="1812" t="s">
        <v>1483</v>
      </c>
      <c r="C23" s="1813">
        <f>+'Bce Clasificado 31.12.2024'!D145</f>
        <v>1420725811</v>
      </c>
      <c r="D23" s="1664">
        <v>5.0000000000000001E-3</v>
      </c>
      <c r="E23" s="2030"/>
      <c r="F23" s="2030"/>
      <c r="G23" s="1450">
        <v>12</v>
      </c>
      <c r="H23" s="1984">
        <f>+G23*H22</f>
        <v>200000000</v>
      </c>
      <c r="K23" s="1450">
        <v>12</v>
      </c>
      <c r="L23" s="1984">
        <f>+K23*L22</f>
        <v>300000000</v>
      </c>
      <c r="M23" s="1449"/>
    </row>
    <row r="24" spans="2:14" ht="18.75">
      <c r="B24" s="1009"/>
      <c r="C24" s="1665"/>
      <c r="D24" s="1013"/>
      <c r="E24" s="1665"/>
    </row>
    <row r="25" spans="2:14" ht="18.75">
      <c r="B25" s="2025" t="s">
        <v>1484</v>
      </c>
      <c r="C25" s="2025"/>
      <c r="D25" s="2025"/>
      <c r="E25" s="2025"/>
      <c r="F25" s="2025"/>
    </row>
    <row r="26" spans="2:14" ht="75" customHeight="1">
      <c r="B26" s="2026" t="s">
        <v>1701</v>
      </c>
      <c r="C26" s="2026"/>
      <c r="D26" s="2026"/>
      <c r="E26" s="2026"/>
      <c r="F26" s="2026"/>
      <c r="H26" s="1795"/>
      <c r="I26" s="1795"/>
    </row>
    <row r="27" spans="2:14" ht="19.149999999999999" thickBot="1">
      <c r="B27" s="1009" t="s">
        <v>1300</v>
      </c>
      <c r="C27" s="1665"/>
      <c r="D27" s="1013"/>
      <c r="E27" s="1665"/>
    </row>
    <row r="28" spans="2:14" ht="18.75">
      <c r="B28" s="1666" t="s">
        <v>1052</v>
      </c>
      <c r="C28" s="1667" t="s">
        <v>1061</v>
      </c>
      <c r="D28" s="1668" t="s">
        <v>509</v>
      </c>
      <c r="E28" s="2027" t="s">
        <v>1300</v>
      </c>
      <c r="F28" s="2028"/>
      <c r="H28" s="1075"/>
      <c r="I28" s="1075"/>
    </row>
    <row r="29" spans="2:14" ht="19.149999999999999" thickBot="1">
      <c r="B29" s="1669" t="s">
        <v>1299</v>
      </c>
      <c r="C29" s="1670">
        <f>+E22</f>
        <v>24488070.900000002</v>
      </c>
      <c r="D29" s="1671">
        <v>0.75</v>
      </c>
      <c r="E29" s="2021">
        <f>+C29*D29</f>
        <v>18366053.175000001</v>
      </c>
      <c r="F29" s="2022"/>
      <c r="H29" s="1676"/>
      <c r="I29" s="1676"/>
    </row>
    <row r="30" spans="2:14" ht="19.149999999999999" thickBot="1">
      <c r="B30" s="1009" t="s">
        <v>1301</v>
      </c>
      <c r="C30" s="1665"/>
      <c r="D30" s="1013"/>
      <c r="E30" s="2029"/>
      <c r="F30" s="2029"/>
      <c r="H30" s="1075"/>
      <c r="I30" s="1075"/>
    </row>
    <row r="31" spans="2:14" ht="18.75">
      <c r="B31" s="1666" t="s">
        <v>1052</v>
      </c>
      <c r="C31" s="1667" t="s">
        <v>1061</v>
      </c>
      <c r="D31" s="1668" t="s">
        <v>509</v>
      </c>
      <c r="E31" s="2027" t="s">
        <v>1301</v>
      </c>
      <c r="F31" s="2028"/>
      <c r="G31" s="1449"/>
    </row>
    <row r="32" spans="2:14" ht="19.149999999999999" thickBot="1">
      <c r="B32" s="1669" t="s">
        <v>1299</v>
      </c>
      <c r="C32" s="1670">
        <f>+C29</f>
        <v>24488070.900000002</v>
      </c>
      <c r="D32" s="1671">
        <v>0.05</v>
      </c>
      <c r="E32" s="2021">
        <f>+C32*D32</f>
        <v>1224403.5450000002</v>
      </c>
      <c r="F32" s="2022"/>
    </row>
    <row r="33" spans="2:8">
      <c r="H33" s="1795"/>
    </row>
    <row r="34" spans="2:8">
      <c r="B34" s="1672" t="s">
        <v>1485</v>
      </c>
    </row>
    <row r="38" spans="2:8" ht="15.4" thickBot="1">
      <c r="B38" s="1673"/>
      <c r="C38" s="1674"/>
      <c r="D38" s="1675"/>
    </row>
    <row r="39" spans="2:8">
      <c r="B39" s="1644" t="s">
        <v>1486</v>
      </c>
      <c r="C39" s="1674"/>
      <c r="D39" s="1644" t="s">
        <v>1055</v>
      </c>
    </row>
    <row r="40" spans="2:8">
      <c r="B40" s="2023"/>
      <c r="C40" s="2024"/>
      <c r="D40" s="2023"/>
    </row>
    <row r="41" spans="2:8">
      <c r="B41" s="2023"/>
      <c r="C41" s="2024"/>
      <c r="D41" s="2023"/>
    </row>
    <row r="42" spans="2:8">
      <c r="B42" s="2023"/>
      <c r="C42" s="2024"/>
      <c r="D42" s="2023"/>
    </row>
    <row r="43" spans="2:8" ht="15.4" thickBot="1">
      <c r="B43" s="1673"/>
      <c r="C43" s="1674"/>
      <c r="D43" s="1673"/>
    </row>
    <row r="44" spans="2:8">
      <c r="B44" s="1644" t="s">
        <v>1487</v>
      </c>
      <c r="C44" s="1674"/>
      <c r="D44" s="1644" t="s">
        <v>1055</v>
      </c>
    </row>
    <row r="48" spans="2:8" ht="15.4" thickBot="1">
      <c r="B48" s="1673" t="s">
        <v>1705</v>
      </c>
      <c r="C48" s="1674"/>
      <c r="D48" s="1673" t="s">
        <v>1699</v>
      </c>
    </row>
    <row r="49" spans="2:5">
      <c r="B49" s="1644" t="s">
        <v>1488</v>
      </c>
      <c r="C49" s="1674"/>
      <c r="D49" s="1644" t="s">
        <v>1055</v>
      </c>
    </row>
    <row r="54" spans="2:5">
      <c r="C54" s="1656"/>
      <c r="E54" s="1656"/>
    </row>
    <row r="55" spans="2:5">
      <c r="C55" s="1656"/>
      <c r="D55" s="1656"/>
      <c r="E55" s="1656"/>
    </row>
    <row r="56" spans="2:5">
      <c r="C56" s="1656"/>
      <c r="E56" s="1656"/>
    </row>
    <row r="57" spans="2:5">
      <c r="C57" s="1656"/>
      <c r="E57" s="1656"/>
    </row>
  </sheetData>
  <mergeCells count="22">
    <mergeCell ref="E23:F23"/>
    <mergeCell ref="B3:D4"/>
    <mergeCell ref="B5:D5"/>
    <mergeCell ref="B6:D7"/>
    <mergeCell ref="B9:F9"/>
    <mergeCell ref="B11:F11"/>
    <mergeCell ref="B12:F12"/>
    <mergeCell ref="B14:F14"/>
    <mergeCell ref="B17:F17"/>
    <mergeCell ref="E20:F20"/>
    <mergeCell ref="E21:F21"/>
    <mergeCell ref="E22:F22"/>
    <mergeCell ref="E32:F32"/>
    <mergeCell ref="B40:B42"/>
    <mergeCell ref="C40:C42"/>
    <mergeCell ref="D40:D42"/>
    <mergeCell ref="B25:F25"/>
    <mergeCell ref="B26:F26"/>
    <mergeCell ref="E28:F28"/>
    <mergeCell ref="E29:F29"/>
    <mergeCell ref="E30:F30"/>
    <mergeCell ref="E31:F3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3" tint="0.39997558519241921"/>
    <pageSetUpPr fitToPage="1"/>
  </sheetPr>
  <dimension ref="A1:J43"/>
  <sheetViews>
    <sheetView showGridLines="0" workbookViewId="0">
      <selection activeCell="H21" sqref="H21"/>
    </sheetView>
  </sheetViews>
  <sheetFormatPr baseColWidth="10" defaultRowHeight="11.65"/>
  <cols>
    <col min="1" max="1" width="5.796875" style="171" customWidth="1"/>
    <col min="2" max="2" width="49.53125" style="171" bestFit="1" customWidth="1"/>
    <col min="3" max="3" width="9.53125" style="177" customWidth="1"/>
    <col min="4" max="5" width="14.796875" style="171" customWidth="1"/>
    <col min="6" max="6" width="8.53125" style="171" customWidth="1"/>
    <col min="7" max="9" width="11.46484375" style="171"/>
    <col min="10" max="253" width="11.46484375" style="180"/>
    <col min="254" max="254" width="72.796875" style="180" customWidth="1"/>
    <col min="255" max="256" width="14.796875" style="180" customWidth="1"/>
    <col min="257" max="257" width="14.53125" style="180" customWidth="1"/>
    <col min="258" max="258" width="14.796875" style="180" customWidth="1"/>
    <col min="259" max="509" width="11.46484375" style="180"/>
    <col min="510" max="510" width="72.796875" style="180" customWidth="1"/>
    <col min="511" max="512" width="14.796875" style="180" customWidth="1"/>
    <col min="513" max="513" width="14.53125" style="180" customWidth="1"/>
    <col min="514" max="514" width="14.796875" style="180" customWidth="1"/>
    <col min="515" max="765" width="11.46484375" style="180"/>
    <col min="766" max="766" width="72.796875" style="180" customWidth="1"/>
    <col min="767" max="768" width="14.796875" style="180" customWidth="1"/>
    <col min="769" max="769" width="14.53125" style="180" customWidth="1"/>
    <col min="770" max="770" width="14.796875" style="180" customWidth="1"/>
    <col min="771" max="1021" width="11.46484375" style="180"/>
    <col min="1022" max="1022" width="72.796875" style="180" customWidth="1"/>
    <col min="1023" max="1024" width="14.796875" style="180" customWidth="1"/>
    <col min="1025" max="1025" width="14.53125" style="180" customWidth="1"/>
    <col min="1026" max="1026" width="14.796875" style="180" customWidth="1"/>
    <col min="1027" max="1277" width="11.46484375" style="180"/>
    <col min="1278" max="1278" width="72.796875" style="180" customWidth="1"/>
    <col min="1279" max="1280" width="14.796875" style="180" customWidth="1"/>
    <col min="1281" max="1281" width="14.53125" style="180" customWidth="1"/>
    <col min="1282" max="1282" width="14.796875" style="180" customWidth="1"/>
    <col min="1283" max="1533" width="11.46484375" style="180"/>
    <col min="1534" max="1534" width="72.796875" style="180" customWidth="1"/>
    <col min="1535" max="1536" width="14.796875" style="180" customWidth="1"/>
    <col min="1537" max="1537" width="14.53125" style="180" customWidth="1"/>
    <col min="1538" max="1538" width="14.796875" style="180" customWidth="1"/>
    <col min="1539" max="1789" width="11.46484375" style="180"/>
    <col min="1790" max="1790" width="72.796875" style="180" customWidth="1"/>
    <col min="1791" max="1792" width="14.796875" style="180" customWidth="1"/>
    <col min="1793" max="1793" width="14.53125" style="180" customWidth="1"/>
    <col min="1794" max="1794" width="14.796875" style="180" customWidth="1"/>
    <col min="1795" max="2045" width="11.46484375" style="180"/>
    <col min="2046" max="2046" width="72.796875" style="180" customWidth="1"/>
    <col min="2047" max="2048" width="14.796875" style="180" customWidth="1"/>
    <col min="2049" max="2049" width="14.53125" style="180" customWidth="1"/>
    <col min="2050" max="2050" width="14.796875" style="180" customWidth="1"/>
    <col min="2051" max="2301" width="11.46484375" style="180"/>
    <col min="2302" max="2302" width="72.796875" style="180" customWidth="1"/>
    <col min="2303" max="2304" width="14.796875" style="180" customWidth="1"/>
    <col min="2305" max="2305" width="14.53125" style="180" customWidth="1"/>
    <col min="2306" max="2306" width="14.796875" style="180" customWidth="1"/>
    <col min="2307" max="2557" width="11.46484375" style="180"/>
    <col min="2558" max="2558" width="72.796875" style="180" customWidth="1"/>
    <col min="2559" max="2560" width="14.796875" style="180" customWidth="1"/>
    <col min="2561" max="2561" width="14.53125" style="180" customWidth="1"/>
    <col min="2562" max="2562" width="14.796875" style="180" customWidth="1"/>
    <col min="2563" max="2813" width="11.46484375" style="180"/>
    <col min="2814" max="2814" width="72.796875" style="180" customWidth="1"/>
    <col min="2815" max="2816" width="14.796875" style="180" customWidth="1"/>
    <col min="2817" max="2817" width="14.53125" style="180" customWidth="1"/>
    <col min="2818" max="2818" width="14.796875" style="180" customWidth="1"/>
    <col min="2819" max="3069" width="11.46484375" style="180"/>
    <col min="3070" max="3070" width="72.796875" style="180" customWidth="1"/>
    <col min="3071" max="3072" width="14.796875" style="180" customWidth="1"/>
    <col min="3073" max="3073" width="14.53125" style="180" customWidth="1"/>
    <col min="3074" max="3074" width="14.796875" style="180" customWidth="1"/>
    <col min="3075" max="3325" width="11.46484375" style="180"/>
    <col min="3326" max="3326" width="72.796875" style="180" customWidth="1"/>
    <col min="3327" max="3328" width="14.796875" style="180" customWidth="1"/>
    <col min="3329" max="3329" width="14.53125" style="180" customWidth="1"/>
    <col min="3330" max="3330" width="14.796875" style="180" customWidth="1"/>
    <col min="3331" max="3581" width="11.46484375" style="180"/>
    <col min="3582" max="3582" width="72.796875" style="180" customWidth="1"/>
    <col min="3583" max="3584" width="14.796875" style="180" customWidth="1"/>
    <col min="3585" max="3585" width="14.53125" style="180" customWidth="1"/>
    <col min="3586" max="3586" width="14.796875" style="180" customWidth="1"/>
    <col min="3587" max="3837" width="11.46484375" style="180"/>
    <col min="3838" max="3838" width="72.796875" style="180" customWidth="1"/>
    <col min="3839" max="3840" width="14.796875" style="180" customWidth="1"/>
    <col min="3841" max="3841" width="14.53125" style="180" customWidth="1"/>
    <col min="3842" max="3842" width="14.796875" style="180" customWidth="1"/>
    <col min="3843" max="4093" width="11.46484375" style="180"/>
    <col min="4094" max="4094" width="72.796875" style="180" customWidth="1"/>
    <col min="4095" max="4096" width="14.796875" style="180" customWidth="1"/>
    <col min="4097" max="4097" width="14.53125" style="180" customWidth="1"/>
    <col min="4098" max="4098" width="14.796875" style="180" customWidth="1"/>
    <col min="4099" max="4349" width="11.46484375" style="180"/>
    <col min="4350" max="4350" width="72.796875" style="180" customWidth="1"/>
    <col min="4351" max="4352" width="14.796875" style="180" customWidth="1"/>
    <col min="4353" max="4353" width="14.53125" style="180" customWidth="1"/>
    <col min="4354" max="4354" width="14.796875" style="180" customWidth="1"/>
    <col min="4355" max="4605" width="11.46484375" style="180"/>
    <col min="4606" max="4606" width="72.796875" style="180" customWidth="1"/>
    <col min="4607" max="4608" width="14.796875" style="180" customWidth="1"/>
    <col min="4609" max="4609" width="14.53125" style="180" customWidth="1"/>
    <col min="4610" max="4610" width="14.796875" style="180" customWidth="1"/>
    <col min="4611" max="4861" width="11.46484375" style="180"/>
    <col min="4862" max="4862" width="72.796875" style="180" customWidth="1"/>
    <col min="4863" max="4864" width="14.796875" style="180" customWidth="1"/>
    <col min="4865" max="4865" width="14.53125" style="180" customWidth="1"/>
    <col min="4866" max="4866" width="14.796875" style="180" customWidth="1"/>
    <col min="4867" max="5117" width="11.46484375" style="180"/>
    <col min="5118" max="5118" width="72.796875" style="180" customWidth="1"/>
    <col min="5119" max="5120" width="14.796875" style="180" customWidth="1"/>
    <col min="5121" max="5121" width="14.53125" style="180" customWidth="1"/>
    <col min="5122" max="5122" width="14.796875" style="180" customWidth="1"/>
    <col min="5123" max="5373" width="11.46484375" style="180"/>
    <col min="5374" max="5374" width="72.796875" style="180" customWidth="1"/>
    <col min="5375" max="5376" width="14.796875" style="180" customWidth="1"/>
    <col min="5377" max="5377" width="14.53125" style="180" customWidth="1"/>
    <col min="5378" max="5378" width="14.796875" style="180" customWidth="1"/>
    <col min="5379" max="5629" width="11.46484375" style="180"/>
    <col min="5630" max="5630" width="72.796875" style="180" customWidth="1"/>
    <col min="5631" max="5632" width="14.796875" style="180" customWidth="1"/>
    <col min="5633" max="5633" width="14.53125" style="180" customWidth="1"/>
    <col min="5634" max="5634" width="14.796875" style="180" customWidth="1"/>
    <col min="5635" max="5885" width="11.46484375" style="180"/>
    <col min="5886" max="5886" width="72.796875" style="180" customWidth="1"/>
    <col min="5887" max="5888" width="14.796875" style="180" customWidth="1"/>
    <col min="5889" max="5889" width="14.53125" style="180" customWidth="1"/>
    <col min="5890" max="5890" width="14.796875" style="180" customWidth="1"/>
    <col min="5891" max="6141" width="11.46484375" style="180"/>
    <col min="6142" max="6142" width="72.796875" style="180" customWidth="1"/>
    <col min="6143" max="6144" width="14.796875" style="180" customWidth="1"/>
    <col min="6145" max="6145" width="14.53125" style="180" customWidth="1"/>
    <col min="6146" max="6146" width="14.796875" style="180" customWidth="1"/>
    <col min="6147" max="6397" width="11.46484375" style="180"/>
    <col min="6398" max="6398" width="72.796875" style="180" customWidth="1"/>
    <col min="6399" max="6400" width="14.796875" style="180" customWidth="1"/>
    <col min="6401" max="6401" width="14.53125" style="180" customWidth="1"/>
    <col min="6402" max="6402" width="14.796875" style="180" customWidth="1"/>
    <col min="6403" max="6653" width="11.46484375" style="180"/>
    <col min="6654" max="6654" width="72.796875" style="180" customWidth="1"/>
    <col min="6655" max="6656" width="14.796875" style="180" customWidth="1"/>
    <col min="6657" max="6657" width="14.53125" style="180" customWidth="1"/>
    <col min="6658" max="6658" width="14.796875" style="180" customWidth="1"/>
    <col min="6659" max="6909" width="11.46484375" style="180"/>
    <col min="6910" max="6910" width="72.796875" style="180" customWidth="1"/>
    <col min="6911" max="6912" width="14.796875" style="180" customWidth="1"/>
    <col min="6913" max="6913" width="14.53125" style="180" customWidth="1"/>
    <col min="6914" max="6914" width="14.796875" style="180" customWidth="1"/>
    <col min="6915" max="7165" width="11.46484375" style="180"/>
    <col min="7166" max="7166" width="72.796875" style="180" customWidth="1"/>
    <col min="7167" max="7168" width="14.796875" style="180" customWidth="1"/>
    <col min="7169" max="7169" width="14.53125" style="180" customWidth="1"/>
    <col min="7170" max="7170" width="14.796875" style="180" customWidth="1"/>
    <col min="7171" max="7421" width="11.46484375" style="180"/>
    <col min="7422" max="7422" width="72.796875" style="180" customWidth="1"/>
    <col min="7423" max="7424" width="14.796875" style="180" customWidth="1"/>
    <col min="7425" max="7425" width="14.53125" style="180" customWidth="1"/>
    <col min="7426" max="7426" width="14.796875" style="180" customWidth="1"/>
    <col min="7427" max="7677" width="11.46484375" style="180"/>
    <col min="7678" max="7678" width="72.796875" style="180" customWidth="1"/>
    <col min="7679" max="7680" width="14.796875" style="180" customWidth="1"/>
    <col min="7681" max="7681" width="14.53125" style="180" customWidth="1"/>
    <col min="7682" max="7682" width="14.796875" style="180" customWidth="1"/>
    <col min="7683" max="7933" width="11.46484375" style="180"/>
    <col min="7934" max="7934" width="72.796875" style="180" customWidth="1"/>
    <col min="7935" max="7936" width="14.796875" style="180" customWidth="1"/>
    <col min="7937" max="7937" width="14.53125" style="180" customWidth="1"/>
    <col min="7938" max="7938" width="14.796875" style="180" customWidth="1"/>
    <col min="7939" max="8189" width="11.46484375" style="180"/>
    <col min="8190" max="8190" width="72.796875" style="180" customWidth="1"/>
    <col min="8191" max="8192" width="14.796875" style="180" customWidth="1"/>
    <col min="8193" max="8193" width="14.53125" style="180" customWidth="1"/>
    <col min="8194" max="8194" width="14.796875" style="180" customWidth="1"/>
    <col min="8195" max="8445" width="11.46484375" style="180"/>
    <col min="8446" max="8446" width="72.796875" style="180" customWidth="1"/>
    <col min="8447" max="8448" width="14.796875" style="180" customWidth="1"/>
    <col min="8449" max="8449" width="14.53125" style="180" customWidth="1"/>
    <col min="8450" max="8450" width="14.796875" style="180" customWidth="1"/>
    <col min="8451" max="8701" width="11.46484375" style="180"/>
    <col min="8702" max="8702" width="72.796875" style="180" customWidth="1"/>
    <col min="8703" max="8704" width="14.796875" style="180" customWidth="1"/>
    <col min="8705" max="8705" width="14.53125" style="180" customWidth="1"/>
    <col min="8706" max="8706" width="14.796875" style="180" customWidth="1"/>
    <col min="8707" max="8957" width="11.46484375" style="180"/>
    <col min="8958" max="8958" width="72.796875" style="180" customWidth="1"/>
    <col min="8959" max="8960" width="14.796875" style="180" customWidth="1"/>
    <col min="8961" max="8961" width="14.53125" style="180" customWidth="1"/>
    <col min="8962" max="8962" width="14.796875" style="180" customWidth="1"/>
    <col min="8963" max="9213" width="11.46484375" style="180"/>
    <col min="9214" max="9214" width="72.796875" style="180" customWidth="1"/>
    <col min="9215" max="9216" width="14.796875" style="180" customWidth="1"/>
    <col min="9217" max="9217" width="14.53125" style="180" customWidth="1"/>
    <col min="9218" max="9218" width="14.796875" style="180" customWidth="1"/>
    <col min="9219" max="9469" width="11.46484375" style="180"/>
    <col min="9470" max="9470" width="72.796875" style="180" customWidth="1"/>
    <col min="9471" max="9472" width="14.796875" style="180" customWidth="1"/>
    <col min="9473" max="9473" width="14.53125" style="180" customWidth="1"/>
    <col min="9474" max="9474" width="14.796875" style="180" customWidth="1"/>
    <col min="9475" max="9725" width="11.46484375" style="180"/>
    <col min="9726" max="9726" width="72.796875" style="180" customWidth="1"/>
    <col min="9727" max="9728" width="14.796875" style="180" customWidth="1"/>
    <col min="9729" max="9729" width="14.53125" style="180" customWidth="1"/>
    <col min="9730" max="9730" width="14.796875" style="180" customWidth="1"/>
    <col min="9731" max="9981" width="11.46484375" style="180"/>
    <col min="9982" max="9982" width="72.796875" style="180" customWidth="1"/>
    <col min="9983" max="9984" width="14.796875" style="180" customWidth="1"/>
    <col min="9985" max="9985" width="14.53125" style="180" customWidth="1"/>
    <col min="9986" max="9986" width="14.796875" style="180" customWidth="1"/>
    <col min="9987" max="10237" width="11.46484375" style="180"/>
    <col min="10238" max="10238" width="72.796875" style="180" customWidth="1"/>
    <col min="10239" max="10240" width="14.796875" style="180" customWidth="1"/>
    <col min="10241" max="10241" width="14.53125" style="180" customWidth="1"/>
    <col min="10242" max="10242" width="14.796875" style="180" customWidth="1"/>
    <col min="10243" max="10493" width="11.46484375" style="180"/>
    <col min="10494" max="10494" width="72.796875" style="180" customWidth="1"/>
    <col min="10495" max="10496" width="14.796875" style="180" customWidth="1"/>
    <col min="10497" max="10497" width="14.53125" style="180" customWidth="1"/>
    <col min="10498" max="10498" width="14.796875" style="180" customWidth="1"/>
    <col min="10499" max="10749" width="11.46484375" style="180"/>
    <col min="10750" max="10750" width="72.796875" style="180" customWidth="1"/>
    <col min="10751" max="10752" width="14.796875" style="180" customWidth="1"/>
    <col min="10753" max="10753" width="14.53125" style="180" customWidth="1"/>
    <col min="10754" max="10754" width="14.796875" style="180" customWidth="1"/>
    <col min="10755" max="11005" width="11.46484375" style="180"/>
    <col min="11006" max="11006" width="72.796875" style="180" customWidth="1"/>
    <col min="11007" max="11008" width="14.796875" style="180" customWidth="1"/>
    <col min="11009" max="11009" width="14.53125" style="180" customWidth="1"/>
    <col min="11010" max="11010" width="14.796875" style="180" customWidth="1"/>
    <col min="11011" max="11261" width="11.46484375" style="180"/>
    <col min="11262" max="11262" width="72.796875" style="180" customWidth="1"/>
    <col min="11263" max="11264" width="14.796875" style="180" customWidth="1"/>
    <col min="11265" max="11265" width="14.53125" style="180" customWidth="1"/>
    <col min="11266" max="11266" width="14.796875" style="180" customWidth="1"/>
    <col min="11267" max="11517" width="11.46484375" style="180"/>
    <col min="11518" max="11518" width="72.796875" style="180" customWidth="1"/>
    <col min="11519" max="11520" width="14.796875" style="180" customWidth="1"/>
    <col min="11521" max="11521" width="14.53125" style="180" customWidth="1"/>
    <col min="11522" max="11522" width="14.796875" style="180" customWidth="1"/>
    <col min="11523" max="11773" width="11.46484375" style="180"/>
    <col min="11774" max="11774" width="72.796875" style="180" customWidth="1"/>
    <col min="11775" max="11776" width="14.796875" style="180" customWidth="1"/>
    <col min="11777" max="11777" width="14.53125" style="180" customWidth="1"/>
    <col min="11778" max="11778" width="14.796875" style="180" customWidth="1"/>
    <col min="11779" max="12029" width="11.46484375" style="180"/>
    <col min="12030" max="12030" width="72.796875" style="180" customWidth="1"/>
    <col min="12031" max="12032" width="14.796875" style="180" customWidth="1"/>
    <col min="12033" max="12033" width="14.53125" style="180" customWidth="1"/>
    <col min="12034" max="12034" width="14.796875" style="180" customWidth="1"/>
    <col min="12035" max="12285" width="11.46484375" style="180"/>
    <col min="12286" max="12286" width="72.796875" style="180" customWidth="1"/>
    <col min="12287" max="12288" width="14.796875" style="180" customWidth="1"/>
    <col min="12289" max="12289" width="14.53125" style="180" customWidth="1"/>
    <col min="12290" max="12290" width="14.796875" style="180" customWidth="1"/>
    <col min="12291" max="12541" width="11.46484375" style="180"/>
    <col min="12542" max="12542" width="72.796875" style="180" customWidth="1"/>
    <col min="12543" max="12544" width="14.796875" style="180" customWidth="1"/>
    <col min="12545" max="12545" width="14.53125" style="180" customWidth="1"/>
    <col min="12546" max="12546" width="14.796875" style="180" customWidth="1"/>
    <col min="12547" max="12797" width="11.46484375" style="180"/>
    <col min="12798" max="12798" width="72.796875" style="180" customWidth="1"/>
    <col min="12799" max="12800" width="14.796875" style="180" customWidth="1"/>
    <col min="12801" max="12801" width="14.53125" style="180" customWidth="1"/>
    <col min="12802" max="12802" width="14.796875" style="180" customWidth="1"/>
    <col min="12803" max="13053" width="11.46484375" style="180"/>
    <col min="13054" max="13054" width="72.796875" style="180" customWidth="1"/>
    <col min="13055" max="13056" width="14.796875" style="180" customWidth="1"/>
    <col min="13057" max="13057" width="14.53125" style="180" customWidth="1"/>
    <col min="13058" max="13058" width="14.796875" style="180" customWidth="1"/>
    <col min="13059" max="13309" width="11.46484375" style="180"/>
    <col min="13310" max="13310" width="72.796875" style="180" customWidth="1"/>
    <col min="13311" max="13312" width="14.796875" style="180" customWidth="1"/>
    <col min="13313" max="13313" width="14.53125" style="180" customWidth="1"/>
    <col min="13314" max="13314" width="14.796875" style="180" customWidth="1"/>
    <col min="13315" max="13565" width="11.46484375" style="180"/>
    <col min="13566" max="13566" width="72.796875" style="180" customWidth="1"/>
    <col min="13567" max="13568" width="14.796875" style="180" customWidth="1"/>
    <col min="13569" max="13569" width="14.53125" style="180" customWidth="1"/>
    <col min="13570" max="13570" width="14.796875" style="180" customWidth="1"/>
    <col min="13571" max="13821" width="11.46484375" style="180"/>
    <col min="13822" max="13822" width="72.796875" style="180" customWidth="1"/>
    <col min="13823" max="13824" width="14.796875" style="180" customWidth="1"/>
    <col min="13825" max="13825" width="14.53125" style="180" customWidth="1"/>
    <col min="13826" max="13826" width="14.796875" style="180" customWidth="1"/>
    <col min="13827" max="14077" width="11.46484375" style="180"/>
    <col min="14078" max="14078" width="72.796875" style="180" customWidth="1"/>
    <col min="14079" max="14080" width="14.796875" style="180" customWidth="1"/>
    <col min="14081" max="14081" width="14.53125" style="180" customWidth="1"/>
    <col min="14082" max="14082" width="14.796875" style="180" customWidth="1"/>
    <col min="14083" max="14333" width="11.46484375" style="180"/>
    <col min="14334" max="14334" width="72.796875" style="180" customWidth="1"/>
    <col min="14335" max="14336" width="14.796875" style="180" customWidth="1"/>
    <col min="14337" max="14337" width="14.53125" style="180" customWidth="1"/>
    <col min="14338" max="14338" width="14.796875" style="180" customWidth="1"/>
    <col min="14339" max="14589" width="11.46484375" style="180"/>
    <col min="14590" max="14590" width="72.796875" style="180" customWidth="1"/>
    <col min="14591" max="14592" width="14.796875" style="180" customWidth="1"/>
    <col min="14593" max="14593" width="14.53125" style="180" customWidth="1"/>
    <col min="14594" max="14594" width="14.796875" style="180" customWidth="1"/>
    <col min="14595" max="14845" width="11.46484375" style="180"/>
    <col min="14846" max="14846" width="72.796875" style="180" customWidth="1"/>
    <col min="14847" max="14848" width="14.796875" style="180" customWidth="1"/>
    <col min="14849" max="14849" width="14.53125" style="180" customWidth="1"/>
    <col min="14850" max="14850" width="14.796875" style="180" customWidth="1"/>
    <col min="14851" max="15101" width="11.46484375" style="180"/>
    <col min="15102" max="15102" width="72.796875" style="180" customWidth="1"/>
    <col min="15103" max="15104" width="14.796875" style="180" customWidth="1"/>
    <col min="15105" max="15105" width="14.53125" style="180" customWidth="1"/>
    <col min="15106" max="15106" width="14.796875" style="180" customWidth="1"/>
    <col min="15107" max="15357" width="11.46484375" style="180"/>
    <col min="15358" max="15358" width="72.796875" style="180" customWidth="1"/>
    <col min="15359" max="15360" width="14.796875" style="180" customWidth="1"/>
    <col min="15361" max="15361" width="14.53125" style="180" customWidth="1"/>
    <col min="15362" max="15362" width="14.796875" style="180" customWidth="1"/>
    <col min="15363" max="15613" width="11.46484375" style="180"/>
    <col min="15614" max="15614" width="72.796875" style="180" customWidth="1"/>
    <col min="15615" max="15616" width="14.796875" style="180" customWidth="1"/>
    <col min="15617" max="15617" width="14.53125" style="180" customWidth="1"/>
    <col min="15618" max="15618" width="14.796875" style="180" customWidth="1"/>
    <col min="15619" max="15869" width="11.46484375" style="180"/>
    <col min="15870" max="15870" width="72.796875" style="180" customWidth="1"/>
    <col min="15871" max="15872" width="14.796875" style="180" customWidth="1"/>
    <col min="15873" max="15873" width="14.53125" style="180" customWidth="1"/>
    <col min="15874" max="15874" width="14.796875" style="180" customWidth="1"/>
    <col min="15875" max="16125" width="11.46484375" style="180"/>
    <col min="16126" max="16126" width="72.796875" style="180" customWidth="1"/>
    <col min="16127" max="16128" width="14.796875" style="180" customWidth="1"/>
    <col min="16129" max="16129" width="14.53125" style="180" customWidth="1"/>
    <col min="16130" max="16130" width="14.796875" style="180" customWidth="1"/>
    <col min="16131" max="16384" width="11.46484375" style="180"/>
  </cols>
  <sheetData>
    <row r="1" spans="1:10" ht="13.15">
      <c r="A1" s="169"/>
      <c r="B1" s="169"/>
      <c r="C1" s="170"/>
      <c r="D1" s="169"/>
      <c r="E1" s="169"/>
      <c r="F1" s="169"/>
      <c r="G1" s="138"/>
      <c r="H1" s="135" t="s">
        <v>434</v>
      </c>
      <c r="I1" s="135"/>
      <c r="J1" s="179"/>
    </row>
    <row r="2" spans="1:10" ht="15.75">
      <c r="A2" s="169"/>
      <c r="B2" s="136" t="str">
        <f>+Datos!C12</f>
        <v>Colegio de Contadores de Chile A.G.</v>
      </c>
      <c r="C2" s="155"/>
      <c r="D2" s="169"/>
      <c r="E2" s="169"/>
      <c r="F2" s="169"/>
      <c r="G2" s="139" t="s">
        <v>616</v>
      </c>
      <c r="H2" s="135"/>
      <c r="I2" s="135"/>
      <c r="J2" s="179"/>
    </row>
    <row r="3" spans="1:10">
      <c r="A3" s="169"/>
      <c r="B3" s="172"/>
      <c r="C3" s="173"/>
      <c r="D3" s="172"/>
      <c r="E3" s="172"/>
      <c r="F3" s="169"/>
      <c r="G3" s="169"/>
      <c r="H3" s="169"/>
      <c r="I3" s="169"/>
    </row>
    <row r="4" spans="1:10">
      <c r="A4" s="169"/>
      <c r="B4" s="1235"/>
      <c r="C4" s="1236"/>
      <c r="D4" s="2308" t="s">
        <v>594</v>
      </c>
      <c r="E4" s="2309"/>
      <c r="F4" s="169"/>
      <c r="G4" s="169"/>
      <c r="H4" s="169"/>
      <c r="I4" s="169"/>
    </row>
    <row r="5" spans="1:10">
      <c r="A5" s="169"/>
      <c r="B5" s="1237" t="s">
        <v>802</v>
      </c>
      <c r="C5" s="1238" t="s">
        <v>21</v>
      </c>
      <c r="D5" s="1239">
        <f>+Datos!D8</f>
        <v>45657</v>
      </c>
      <c r="E5" s="1239">
        <f>+Datos!E8</f>
        <v>45291</v>
      </c>
      <c r="F5" s="169"/>
      <c r="G5" s="169"/>
      <c r="H5" s="169"/>
      <c r="I5" s="169"/>
    </row>
    <row r="6" spans="1:10">
      <c r="A6" s="169"/>
      <c r="B6" s="1240"/>
      <c r="C6" s="1241"/>
      <c r="D6" s="1239" t="s">
        <v>20</v>
      </c>
      <c r="E6" s="1239" t="s">
        <v>20</v>
      </c>
      <c r="F6" s="169"/>
      <c r="G6" s="169"/>
      <c r="H6" s="169"/>
      <c r="I6" s="169"/>
    </row>
    <row r="7" spans="1:10">
      <c r="A7" s="170"/>
      <c r="B7" s="160" t="s">
        <v>597</v>
      </c>
      <c r="C7" s="161"/>
      <c r="D7" s="307"/>
      <c r="E7" s="307"/>
      <c r="F7" s="169"/>
      <c r="G7" s="169"/>
      <c r="H7" s="169"/>
      <c r="I7" s="169"/>
    </row>
    <row r="8" spans="1:10">
      <c r="A8" s="170"/>
      <c r="B8" s="160" t="s">
        <v>598</v>
      </c>
      <c r="C8" s="161"/>
      <c r="D8" s="303"/>
      <c r="E8" s="303"/>
      <c r="F8" s="169"/>
      <c r="G8" s="169"/>
      <c r="H8" s="169"/>
      <c r="I8" s="169"/>
    </row>
    <row r="9" spans="1:10" ht="13.15">
      <c r="A9" s="170"/>
      <c r="B9" s="162" t="s">
        <v>73</v>
      </c>
      <c r="C9" s="131">
        <v>28</v>
      </c>
      <c r="D9" s="303"/>
      <c r="E9" s="304"/>
      <c r="F9" s="169"/>
      <c r="G9" s="135">
        <f>IF((+D9-('Nº28 Ing Ord'!C18))=0,0, "VERIFICAR")</f>
        <v>0</v>
      </c>
      <c r="H9" s="135">
        <f>IF((+E9-('Nº28 Ing Ord'!D18))=0,0, "VERIFICAR")</f>
        <v>0</v>
      </c>
      <c r="I9" s="169"/>
    </row>
    <row r="10" spans="1:10" ht="13.15">
      <c r="A10" s="170"/>
      <c r="B10" s="162" t="s">
        <v>884</v>
      </c>
      <c r="C10" s="131">
        <v>15</v>
      </c>
      <c r="D10" s="303"/>
      <c r="E10" s="304"/>
      <c r="F10" s="169"/>
      <c r="G10" s="169"/>
      <c r="H10" s="169"/>
      <c r="I10" s="169"/>
    </row>
    <row r="11" spans="1:10" ht="13.15">
      <c r="A11" s="170"/>
      <c r="B11" s="164" t="s">
        <v>551</v>
      </c>
      <c r="C11" s="131" t="s">
        <v>609</v>
      </c>
      <c r="D11" s="303"/>
      <c r="E11" s="304"/>
      <c r="F11" s="169"/>
      <c r="G11" s="135">
        <f>IF((+D11-('Nº36 a) Gto benef a empleados '!C13))=0,0, "VERIFICAR")</f>
        <v>0</v>
      </c>
      <c r="H11" s="135">
        <f>IF((+E11-('Nº36 a) Gto benef a empleados '!D13))=0,0, "VERIFICAR")</f>
        <v>0</v>
      </c>
      <c r="I11" s="169"/>
    </row>
    <row r="12" spans="1:10" ht="13.15">
      <c r="A12" s="170"/>
      <c r="B12" s="164" t="s">
        <v>552</v>
      </c>
      <c r="C12" s="131" t="s">
        <v>618</v>
      </c>
      <c r="D12" s="303"/>
      <c r="E12" s="304"/>
      <c r="F12" s="169"/>
      <c r="G12" s="135">
        <f>IF((+D12-('Nº18 Pr Plt Eq'!J39+'Nº17 Intangible'!I45))=0,0, "VERIFICAR")</f>
        <v>0</v>
      </c>
      <c r="H12" s="169"/>
      <c r="I12" s="169"/>
    </row>
    <row r="13" spans="1:10" ht="13.15">
      <c r="A13" s="170"/>
      <c r="B13" s="164" t="s">
        <v>886</v>
      </c>
      <c r="C13" s="131" t="s">
        <v>610</v>
      </c>
      <c r="D13" s="303"/>
      <c r="E13" s="304"/>
      <c r="F13" s="169"/>
      <c r="G13" s="135">
        <f>IF((+D13-('Nº36 b) Deterioro'!C14))=0,0, "VERIFICAR")</f>
        <v>0</v>
      </c>
      <c r="H13" s="169"/>
      <c r="I13" s="169"/>
    </row>
    <row r="14" spans="1:10" ht="13.15">
      <c r="A14" s="170"/>
      <c r="B14" s="164" t="s">
        <v>595</v>
      </c>
      <c r="C14" s="131" t="s">
        <v>612</v>
      </c>
      <c r="D14" s="303"/>
      <c r="E14" s="304"/>
      <c r="F14" s="169"/>
      <c r="G14" s="135">
        <f>IF((+D14-('Nº36 c) Otros gtos por nat'!C19))=0,0, "VERIFICAR")</f>
        <v>0</v>
      </c>
      <c r="H14" s="135">
        <f>IF((+E14-('Nº36 c) Otros gtos por nat'!D19))=0,0, "VERIFICAR")</f>
        <v>0</v>
      </c>
      <c r="I14" s="169"/>
    </row>
    <row r="15" spans="1:10" ht="13.15">
      <c r="A15" s="170"/>
      <c r="B15" s="162" t="s">
        <v>599</v>
      </c>
      <c r="C15" s="131">
        <v>42</v>
      </c>
      <c r="D15" s="303"/>
      <c r="E15" s="304"/>
      <c r="F15" s="169"/>
      <c r="G15" s="135">
        <f>IF((+D15-('Nº42 Otr Gan (Per)'!C20))=0,0, "VERIFICAR")</f>
        <v>0</v>
      </c>
      <c r="H15" s="135">
        <f>IF((+E15-('Nº42 Otr Gan (Per)'!D20))=0,0, "VERIFICAR")</f>
        <v>0</v>
      </c>
      <c r="I15" s="169"/>
    </row>
    <row r="16" spans="1:10" ht="13.15">
      <c r="A16" s="170"/>
      <c r="B16" s="162" t="s">
        <v>64</v>
      </c>
      <c r="C16" s="131"/>
      <c r="D16" s="303"/>
      <c r="E16" s="304"/>
      <c r="F16" s="169"/>
      <c r="G16" s="169"/>
      <c r="H16" s="169"/>
      <c r="I16" s="169"/>
    </row>
    <row r="17" spans="1:10" ht="13.15">
      <c r="A17" s="170"/>
      <c r="B17" s="162" t="s">
        <v>65</v>
      </c>
      <c r="C17" s="131">
        <v>41</v>
      </c>
      <c r="D17" s="303"/>
      <c r="E17" s="304"/>
      <c r="F17" s="169"/>
      <c r="G17" s="135">
        <f>IF((+D17-('Nº 41 Costo finan'!C11))=0,0, "VERIFICAR")</f>
        <v>0</v>
      </c>
      <c r="H17" s="135">
        <f>IF((+E17-('Nº 41 Costo finan'!D11))=0,0, "VERIFICAR")</f>
        <v>0</v>
      </c>
      <c r="I17" s="169"/>
    </row>
    <row r="18" spans="1:10" ht="14.25">
      <c r="A18" s="170"/>
      <c r="B18" s="162" t="s">
        <v>885</v>
      </c>
      <c r="C18" s="291">
        <v>14</v>
      </c>
      <c r="D18" s="303"/>
      <c r="E18" s="304"/>
      <c r="F18" s="169"/>
      <c r="G18" s="135">
        <f>IF((+D18-'Nº14 a) Inversion en Soc'!H15)=0,0, "VERIFICAR")</f>
        <v>0</v>
      </c>
      <c r="H18" s="169"/>
      <c r="I18" s="169"/>
    </row>
    <row r="19" spans="1:10" ht="13.15">
      <c r="A19" s="170"/>
      <c r="B19" s="162" t="s">
        <v>600</v>
      </c>
      <c r="C19" s="131"/>
      <c r="D19" s="303"/>
      <c r="E19" s="304"/>
      <c r="F19" s="169"/>
      <c r="G19" s="169"/>
      <c r="H19" s="169"/>
      <c r="I19" s="169"/>
    </row>
    <row r="20" spans="1:10">
      <c r="A20" s="170"/>
      <c r="B20" s="162" t="s">
        <v>67</v>
      </c>
      <c r="C20" s="163"/>
      <c r="D20" s="303"/>
      <c r="E20" s="304"/>
      <c r="F20" s="169"/>
      <c r="G20" s="169"/>
      <c r="H20" s="169"/>
      <c r="I20" s="169"/>
    </row>
    <row r="21" spans="1:10" ht="13.15">
      <c r="A21" s="170"/>
      <c r="B21" s="1242" t="s">
        <v>601</v>
      </c>
      <c r="C21" s="1243"/>
      <c r="D21" s="1244">
        <f>SUM(D9:D20)</f>
        <v>0</v>
      </c>
      <c r="E21" s="1245">
        <f>SUM(E9:E20)</f>
        <v>0</v>
      </c>
      <c r="F21" s="169"/>
      <c r="G21" s="169"/>
      <c r="H21" s="169"/>
      <c r="I21" s="169"/>
    </row>
    <row r="22" spans="1:10" ht="13.15">
      <c r="A22" s="170"/>
      <c r="B22" s="162" t="s">
        <v>596</v>
      </c>
      <c r="C22" s="131">
        <v>19</v>
      </c>
      <c r="D22" s="304"/>
      <c r="E22" s="304"/>
      <c r="F22" s="169"/>
      <c r="G22" s="135">
        <f>IF((+D22-'Nº19 Imp cte y dif'!C88)=0,0, "VERIFICAR")</f>
        <v>0</v>
      </c>
      <c r="H22" s="135">
        <f>IF((+E22-'Nº19 Imp cte y dif'!D88)=0,0, "VERIFICAR")</f>
        <v>0</v>
      </c>
      <c r="I22" s="169"/>
    </row>
    <row r="23" spans="1:10" ht="13.15">
      <c r="A23" s="170"/>
      <c r="B23" s="1242" t="s">
        <v>68</v>
      </c>
      <c r="C23" s="1243"/>
      <c r="D23" s="1244">
        <f>SUM(D21:D22)</f>
        <v>0</v>
      </c>
      <c r="E23" s="1245">
        <f>SUM(E21:E22)</f>
        <v>0</v>
      </c>
      <c r="F23" s="169"/>
      <c r="G23" s="169"/>
      <c r="H23" s="169"/>
      <c r="I23" s="169"/>
    </row>
    <row r="24" spans="1:10">
      <c r="A24" s="170"/>
      <c r="B24" s="162" t="s">
        <v>69</v>
      </c>
      <c r="C24" s="163"/>
      <c r="D24" s="305"/>
      <c r="E24" s="306"/>
      <c r="F24" s="169"/>
      <c r="G24" s="169"/>
      <c r="H24" s="169"/>
      <c r="I24" s="169"/>
    </row>
    <row r="25" spans="1:10" ht="13.15">
      <c r="A25" s="170"/>
      <c r="B25" s="1242" t="s">
        <v>72</v>
      </c>
      <c r="C25" s="1243"/>
      <c r="D25" s="1244">
        <f>SUM(D23)</f>
        <v>0</v>
      </c>
      <c r="E25" s="1245">
        <f>SUM(E23)</f>
        <v>0</v>
      </c>
      <c r="F25" s="169"/>
      <c r="G25" s="169"/>
      <c r="H25" s="169"/>
      <c r="I25" s="169"/>
    </row>
    <row r="26" spans="1:10">
      <c r="A26" s="170"/>
      <c r="B26" s="107"/>
      <c r="C26" s="132"/>
      <c r="D26" s="308"/>
      <c r="E26" s="308"/>
      <c r="F26" s="169"/>
      <c r="G26" s="169"/>
      <c r="H26" s="169"/>
      <c r="I26" s="169"/>
    </row>
    <row r="27" spans="1:10">
      <c r="A27" s="169"/>
      <c r="B27" s="165" t="s">
        <v>602</v>
      </c>
      <c r="C27" s="166"/>
      <c r="D27" s="309" t="s">
        <v>342</v>
      </c>
      <c r="E27" s="310" t="s">
        <v>342</v>
      </c>
      <c r="F27" s="169"/>
      <c r="G27" s="169"/>
      <c r="H27" s="169"/>
      <c r="I27" s="169"/>
    </row>
    <row r="28" spans="1:10" ht="23.25">
      <c r="A28" s="169"/>
      <c r="B28" s="167" t="s">
        <v>603</v>
      </c>
      <c r="C28" s="168"/>
      <c r="D28" s="311">
        <f>+D25</f>
        <v>0</v>
      </c>
      <c r="E28" s="312">
        <f>+E25</f>
        <v>0</v>
      </c>
      <c r="F28" s="169"/>
      <c r="G28" s="169"/>
      <c r="H28" s="169"/>
      <c r="I28" s="169"/>
    </row>
    <row r="29" spans="1:10">
      <c r="A29" s="169"/>
      <c r="B29" s="167" t="s">
        <v>604</v>
      </c>
      <c r="C29" s="168"/>
      <c r="D29" s="311"/>
      <c r="E29" s="312"/>
      <c r="F29" s="169"/>
      <c r="G29" s="169"/>
      <c r="H29" s="169"/>
      <c r="I29" s="169"/>
    </row>
    <row r="30" spans="1:10">
      <c r="A30" s="169"/>
      <c r="B30" s="1246" t="s">
        <v>598</v>
      </c>
      <c r="C30" s="1247"/>
      <c r="D30" s="1248">
        <f>+D28+D29</f>
        <v>0</v>
      </c>
      <c r="E30" s="1249">
        <f>+E28+E29</f>
        <v>0</v>
      </c>
      <c r="F30" s="169"/>
      <c r="G30" s="169"/>
      <c r="H30" s="169"/>
      <c r="I30" s="169"/>
    </row>
    <row r="31" spans="1:10">
      <c r="A31" s="169"/>
      <c r="B31" s="157" t="s">
        <v>608</v>
      </c>
      <c r="C31" s="158"/>
      <c r="D31" s="313">
        <f>D30-D25</f>
        <v>0</v>
      </c>
      <c r="E31" s="314">
        <f>E30-E25</f>
        <v>0</v>
      </c>
      <c r="F31" s="169"/>
      <c r="G31" s="169"/>
      <c r="H31" s="169"/>
      <c r="I31" s="169"/>
      <c r="J31" s="181"/>
    </row>
    <row r="32" spans="1:10">
      <c r="A32" s="169"/>
      <c r="B32" s="159"/>
      <c r="C32" s="156"/>
      <c r="D32" s="175"/>
      <c r="E32" s="175"/>
      <c r="F32" s="169"/>
      <c r="G32" s="169"/>
      <c r="H32" s="169"/>
      <c r="I32" s="169"/>
      <c r="J32" s="181"/>
    </row>
    <row r="33" spans="1:10">
      <c r="A33" s="169"/>
      <c r="B33" s="169"/>
      <c r="C33" s="170"/>
      <c r="D33" s="169"/>
      <c r="E33" s="169"/>
      <c r="F33" s="169"/>
      <c r="G33" s="169"/>
      <c r="H33" s="169"/>
      <c r="I33" s="169"/>
      <c r="J33" s="181"/>
    </row>
    <row r="34" spans="1:10">
      <c r="A34" s="169"/>
      <c r="B34" s="169"/>
      <c r="C34" s="170"/>
      <c r="D34" s="176"/>
      <c r="E34" s="169"/>
      <c r="F34" s="169"/>
      <c r="G34" s="169"/>
      <c r="H34" s="169"/>
      <c r="I34" s="169"/>
      <c r="J34" s="181"/>
    </row>
    <row r="35" spans="1:10">
      <c r="A35" s="169"/>
      <c r="B35" s="169"/>
      <c r="C35" s="170"/>
      <c r="D35" s="169"/>
      <c r="E35" s="169"/>
      <c r="F35" s="169"/>
      <c r="G35" s="169"/>
      <c r="H35" s="169"/>
      <c r="I35" s="169"/>
      <c r="J35" s="181"/>
    </row>
    <row r="36" spans="1:10">
      <c r="A36" s="169"/>
      <c r="B36" s="169"/>
      <c r="C36" s="170"/>
      <c r="D36" s="176"/>
      <c r="E36" s="169"/>
      <c r="F36" s="169"/>
      <c r="G36" s="169"/>
      <c r="H36" s="169"/>
      <c r="I36" s="169"/>
      <c r="J36" s="181"/>
    </row>
    <row r="37" spans="1:10">
      <c r="A37" s="169"/>
      <c r="B37" s="169"/>
      <c r="C37" s="170"/>
      <c r="D37" s="176"/>
      <c r="E37" s="169"/>
      <c r="F37" s="169"/>
      <c r="G37" s="169"/>
      <c r="H37" s="169"/>
      <c r="I37" s="169"/>
      <c r="J37" s="181"/>
    </row>
    <row r="38" spans="1:10">
      <c r="D38" s="178"/>
    </row>
    <row r="39" spans="1:10">
      <c r="D39" s="178"/>
    </row>
    <row r="40" spans="1:10">
      <c r="D40" s="178"/>
    </row>
    <row r="41" spans="1:10">
      <c r="D41" s="178"/>
    </row>
    <row r="42" spans="1:10">
      <c r="D42" s="178"/>
    </row>
    <row r="43" spans="1:10">
      <c r="D43" s="178"/>
    </row>
  </sheetData>
  <mergeCells count="1">
    <mergeCell ref="D4:E4"/>
  </mergeCells>
  <conditionalFormatting sqref="G9:H33">
    <cfRule type="containsText" dxfId="0" priority="1" operator="containsText" text="VERIFICAR">
      <formula>NOT(ISERROR(SEARCH("VERIFICAR",G9)))</formula>
    </cfRule>
  </conditionalFormatting>
  <dataValidations disablePrompts="1" count="2">
    <dataValidation type="whole" showInputMessage="1" showErrorMessage="1" sqref="WVH983032 WVI9:WVI23 WLM9:WLM23 WBQ9:WBQ23 VRU9:VRU23 VHY9:VHY23 UYC9:UYC23 UOG9:UOG23 UEK9:UEK23 TUO9:TUO23 TKS9:TKS23 TAW9:TAW23 SRA9:SRA23 SHE9:SHE23 RXI9:RXI23 RNM9:RNM23 RDQ9:RDQ23 QTU9:QTU23 QJY9:QJY23 QAC9:QAC23 PQG9:PQG23 PGK9:PGK23 OWO9:OWO23 OMS9:OMS23 OCW9:OCW23 NTA9:NTA23 NJE9:NJE23 MZI9:MZI23 MPM9:MPM23 MFQ9:MFQ23 LVU9:LVU23 LLY9:LLY23 LCC9:LCC23 KSG9:KSG23 KIK9:KIK23 JYO9:JYO23 JOS9:JOS23 JEW9:JEW23 IVA9:IVA23 ILE9:ILE23 IBI9:IBI23 HRM9:HRM23 HHQ9:HHQ23 GXU9:GXU23 GNY9:GNY23 GEC9:GEC23 FUG9:FUG23 FKK9:FKK23 FAO9:FAO23 EQS9:EQS23 EGW9:EGW23 DXA9:DXA23 DNE9:DNE23 DDI9:DDI23 CTM9:CTM23 CJQ9:CJQ23 BZU9:BZU23 BPY9:BPY23 BGC9:BGC23 AWG9:AWG23 AMK9:AMK23 ACO9:ACO23 SS9:SS23 IW9:IW23 WVJ9:WVJ32 WLN9:WLN32 WBR9:WBR32 VRV9:VRV32 VHZ9:VHZ32 UYD9:UYD32 UOH9:UOH32 UEL9:UEL32 TUP9:TUP32 TKT9:TKT32 TAX9:TAX32 SRB9:SRB32 SHF9:SHF32 RXJ9:RXJ32 RNN9:RNN32 RDR9:RDR32 QTV9:QTV32 QJZ9:QJZ32 QAD9:QAD32 PQH9:PQH32 PGL9:PGL32 OWP9:OWP32 OMT9:OMT32 OCX9:OCX32 NTB9:NTB32 NJF9:NJF32 MZJ9:MZJ32 MPN9:MPN32 MFR9:MFR32 LVV9:LVV32 LLZ9:LLZ32 LCD9:LCD32 KSH9:KSH32 KIL9:KIL32 JYP9:JYP32 JOT9:JOT32 JEX9:JEX32 IVB9:IVB32 ILF9:ILF32 IBJ9:IBJ32 HRN9:HRN32 HHR9:HHR32 GXV9:GXV32 GNZ9:GNZ32 GED9:GED32 FUH9:FUH32 FKL9:FKL32 FAP9:FAP32 EQT9:EQT32 EGX9:EGX32 DXB9:DXB32 DNF9:DNF32 DDJ9:DDJ32 CTN9:CTN32 CJR9:CJR32 BZV9:BZV32 BPZ9:BPZ32 BGD9:BGD32 AWH9:AWH32 AML9:AML32 ACP9:ACP32 ST9:ST32 IX9:IX32 WVG9:WVG32 WLK9:WLK32 WBO9:WBO32 VRS9:VRS32 VHW9:VHW32 UYA9:UYA32 UOE9:UOE32 UEI9:UEI32 TUM9:TUM32 TKQ9:TKQ32 TAU9:TAU32 SQY9:SQY32 SHC9:SHC32 RXG9:RXG32 RNK9:RNK32 RDO9:RDO32 QTS9:QTS32 QJW9:QJW32 QAA9:QAA32 PQE9:PQE32 PGI9:PGI32 OWM9:OWM32 OMQ9:OMQ32 OCU9:OCU32 NSY9:NSY32 NJC9:NJC32 MZG9:MZG32 MPK9:MPK32 MFO9:MFO32 LVS9:LVS32 LLW9:LLW32 LCA9:LCA32 KSE9:KSE32 KII9:KII32 JYM9:JYM32 JOQ9:JOQ32 JEU9:JEU32 IUY9:IUY32 ILC9:ILC32 IBG9:IBG32 HRK9:HRK32 HHO9:HHO32 GXS9:GXS32 GNW9:GNW32 GEA9:GEA32 FUE9:FUE32 FKI9:FKI32 FAM9:FAM32 EQQ9:EQQ32 EGU9:EGU32 DWY9:DWY32 DNC9:DNC32 DDG9:DDG32 CTK9:CTK32 CJO9:CJO32 BZS9:BZS32 BPW9:BPW32 BGA9:BGA32 AWE9:AWE32 AMI9:AMI32 ACM9:ACM32 SQ9:SQ32 IU9:IU32 D32:E32 D26:E27 WLL21 WBP21 VRT21 VHX21 UYB21 UOF21 UEJ21 TUN21 TKR21 TAV21 SQZ21 SHD21 RXH21 RNL21 RDP21 QTT21 QJX21 QAB21 PQF21 PGJ21 OWN21 OMR21 OCV21 NSZ21 NJD21 MZH21 MPL21 MFP21 LVT21 LLX21 LCB21 KSF21 KIJ21 JYN21 JOR21 JEV21 IUZ21 ILD21 IBH21 HRL21 HHP21 GXT21 GNX21 GEB21 FUF21 FKJ21 FAN21 EQR21 EGV21 DWZ21 DND21 DDH21 CTL21 CJP21 BZT21 BPX21 BGB21 AWF21 AMJ21 ACN21 SR21 IV21 WVH23 WLL23 WBP23 VRT23 VHX23 UYB23 UOF23 UEJ23 TUN23 TKR23 TAV23 SQZ23 SHD23 RXH23 RNL23 RDP23 QTT23 QJX23 QAB23 PQF23 PGJ23 OWN23 OMR23 OCV23 NSZ23 NJD23 MZH23 MPL23 MFP23 LVT23 LLX23 LCB23 KSF23 KIJ23 JYN23 JOR23 JEV23 IUZ23 ILD23 IBH23 HRL23 HHP23 GXT23 GNX23 GEB23 FUF23 FKJ23 FAN23 EQR23 EGV23 DWZ23 DND23 DDH23 CTL23 CJP23 BZT23 BPX23 BGB23 AWF23 AMJ23 ACN23 SR23 IV23 WVH24:WVI32 WLL24:WLM32 WBP24:WBQ32 VRT24:VRU32 VHX24:VHY32 UYB24:UYC32 UOF24:UOG32 UEJ24:UEK32 TUN24:TUO32 TKR24:TKS32 TAV24:TAW32 SQZ24:SRA32 SHD24:SHE32 RXH24:RXI32 RNL24:RNM32 RDP24:RDQ32 QTT24:QTU32 QJX24:QJY32 QAB24:QAC32 PQF24:PQG32 PGJ24:PGK32 OWN24:OWO32 OMR24:OMS32 OCV24:OCW32 NSZ24:NTA32 NJD24:NJE32 MZH24:MZI32 MPL24:MPM32 MFP24:MFQ32 LVT24:LVU32 LLX24:LLY32 LCB24:LCC32 KSF24:KSG32 KIJ24:KIK32 JYN24:JYO32 JOR24:JOS32 JEV24:JEW32 IUZ24:IVA32 ILD24:ILE32 IBH24:IBI32 HRL24:HRM32 HHP24:HHQ32 GXT24:GXU32 GNX24:GNY32 GEB24:GEC32 FUF24:FUG32 FKJ24:FKK32 FAN24:FAO32 EQR24:EQS32 EGV24:EGW32 DWZ24:DXA32 DND24:DNE32 DDH24:DDI32 CTL24:CTM32 CJP24:CJQ32 BZT24:BZU32 BPX24:BPY32 BGB24:BGC32 AWF24:AWG32 AMJ24:AMK32 ACN24:ACO32 SR24:SS32 IV24:IW32 WVH21 D65510:D65568 D131046:D131104 D196582:D196640 D262118:D262176 D327654:D327712 D393190:D393248 D458726:D458784 D524262:D524320 D589798:D589856 D655334:D655392 D720870:D720928 D786406:D786464 D851942:D852000 D917478:D917536 D983014:D983072 E65530:E65568 E131066:E131104 E196602:E196640 E262138:E262176 E327674:E327712 E393210:E393248 E458746:E458784 E524282:E524320 E589818:E589856 E655354:E655392 E720890:E720928 E786426:E786464 E851962:E852000 E917498:E917536 E983034:E983072 E65528 E131064 E196600 E262136 E327672 E393208 E458744 E524280 E589816 E655352 E720888 E786424 E851960 E917496 E983032 IU65510:IU65568 SQ65510:SQ65568 ACM65510:ACM65568 AMI65510:AMI65568 AWE65510:AWE65568 BGA65510:BGA65568 BPW65510:BPW65568 BZS65510:BZS65568 CJO65510:CJO65568 CTK65510:CTK65568 DDG65510:DDG65568 DNC65510:DNC65568 DWY65510:DWY65568 EGU65510:EGU65568 EQQ65510:EQQ65568 FAM65510:FAM65568 FKI65510:FKI65568 FUE65510:FUE65568 GEA65510:GEA65568 GNW65510:GNW65568 GXS65510:GXS65568 HHO65510:HHO65568 HRK65510:HRK65568 IBG65510:IBG65568 ILC65510:ILC65568 IUY65510:IUY65568 JEU65510:JEU65568 JOQ65510:JOQ65568 JYM65510:JYM65568 KII65510:KII65568 KSE65510:KSE65568 LCA65510:LCA65568 LLW65510:LLW65568 LVS65510:LVS65568 MFO65510:MFO65568 MPK65510:MPK65568 MZG65510:MZG65568 NJC65510:NJC65568 NSY65510:NSY65568 OCU65510:OCU65568 OMQ65510:OMQ65568 OWM65510:OWM65568 PGI65510:PGI65568 PQE65510:PQE65568 QAA65510:QAA65568 QJW65510:QJW65568 QTS65510:QTS65568 RDO65510:RDO65568 RNK65510:RNK65568 RXG65510:RXG65568 SHC65510:SHC65568 SQY65510:SQY65568 TAU65510:TAU65568 TKQ65510:TKQ65568 TUM65510:TUM65568 UEI65510:UEI65568 UOE65510:UOE65568 UYA65510:UYA65568 VHW65510:VHW65568 VRS65510:VRS65568 WBO65510:WBO65568 WLK65510:WLK65568 WVG65510:WVG65568 IU131046:IU131104 SQ131046:SQ131104 ACM131046:ACM131104 AMI131046:AMI131104 AWE131046:AWE131104 BGA131046:BGA131104 BPW131046:BPW131104 BZS131046:BZS131104 CJO131046:CJO131104 CTK131046:CTK131104 DDG131046:DDG131104 DNC131046:DNC131104 DWY131046:DWY131104 EGU131046:EGU131104 EQQ131046:EQQ131104 FAM131046:FAM131104 FKI131046:FKI131104 FUE131046:FUE131104 GEA131046:GEA131104 GNW131046:GNW131104 GXS131046:GXS131104 HHO131046:HHO131104 HRK131046:HRK131104 IBG131046:IBG131104 ILC131046:ILC131104 IUY131046:IUY131104 JEU131046:JEU131104 JOQ131046:JOQ131104 JYM131046:JYM131104 KII131046:KII131104 KSE131046:KSE131104 LCA131046:LCA131104 LLW131046:LLW131104 LVS131046:LVS131104 MFO131046:MFO131104 MPK131046:MPK131104 MZG131046:MZG131104 NJC131046:NJC131104 NSY131046:NSY131104 OCU131046:OCU131104 OMQ131046:OMQ131104 OWM131046:OWM131104 PGI131046:PGI131104 PQE131046:PQE131104 QAA131046:QAA131104 QJW131046:QJW131104 QTS131046:QTS131104 RDO131046:RDO131104 RNK131046:RNK131104 RXG131046:RXG131104 SHC131046:SHC131104 SQY131046:SQY131104 TAU131046:TAU131104 TKQ131046:TKQ131104 TUM131046:TUM131104 UEI131046:UEI131104 UOE131046:UOE131104 UYA131046:UYA131104 VHW131046:VHW131104 VRS131046:VRS131104 WBO131046:WBO131104 WLK131046:WLK131104 WVG131046:WVG131104 IU196582:IU196640 SQ196582:SQ196640 ACM196582:ACM196640 AMI196582:AMI196640 AWE196582:AWE196640 BGA196582:BGA196640 BPW196582:BPW196640 BZS196582:BZS196640 CJO196582:CJO196640 CTK196582:CTK196640 DDG196582:DDG196640 DNC196582:DNC196640 DWY196582:DWY196640 EGU196582:EGU196640 EQQ196582:EQQ196640 FAM196582:FAM196640 FKI196582:FKI196640 FUE196582:FUE196640 GEA196582:GEA196640 GNW196582:GNW196640 GXS196582:GXS196640 HHO196582:HHO196640 HRK196582:HRK196640 IBG196582:IBG196640 ILC196582:ILC196640 IUY196582:IUY196640 JEU196582:JEU196640 JOQ196582:JOQ196640 JYM196582:JYM196640 KII196582:KII196640 KSE196582:KSE196640 LCA196582:LCA196640 LLW196582:LLW196640 LVS196582:LVS196640 MFO196582:MFO196640 MPK196582:MPK196640 MZG196582:MZG196640 NJC196582:NJC196640 NSY196582:NSY196640 OCU196582:OCU196640 OMQ196582:OMQ196640 OWM196582:OWM196640 PGI196582:PGI196640 PQE196582:PQE196640 QAA196582:QAA196640 QJW196582:QJW196640 QTS196582:QTS196640 RDO196582:RDO196640 RNK196582:RNK196640 RXG196582:RXG196640 SHC196582:SHC196640 SQY196582:SQY196640 TAU196582:TAU196640 TKQ196582:TKQ196640 TUM196582:TUM196640 UEI196582:UEI196640 UOE196582:UOE196640 UYA196582:UYA196640 VHW196582:VHW196640 VRS196582:VRS196640 WBO196582:WBO196640 WLK196582:WLK196640 WVG196582:WVG196640 IU262118:IU262176 SQ262118:SQ262176 ACM262118:ACM262176 AMI262118:AMI262176 AWE262118:AWE262176 BGA262118:BGA262176 BPW262118:BPW262176 BZS262118:BZS262176 CJO262118:CJO262176 CTK262118:CTK262176 DDG262118:DDG262176 DNC262118:DNC262176 DWY262118:DWY262176 EGU262118:EGU262176 EQQ262118:EQQ262176 FAM262118:FAM262176 FKI262118:FKI262176 FUE262118:FUE262176 GEA262118:GEA262176 GNW262118:GNW262176 GXS262118:GXS262176 HHO262118:HHO262176 HRK262118:HRK262176 IBG262118:IBG262176 ILC262118:ILC262176 IUY262118:IUY262176 JEU262118:JEU262176 JOQ262118:JOQ262176 JYM262118:JYM262176 KII262118:KII262176 KSE262118:KSE262176 LCA262118:LCA262176 LLW262118:LLW262176 LVS262118:LVS262176 MFO262118:MFO262176 MPK262118:MPK262176 MZG262118:MZG262176 NJC262118:NJC262176 NSY262118:NSY262176 OCU262118:OCU262176 OMQ262118:OMQ262176 OWM262118:OWM262176 PGI262118:PGI262176 PQE262118:PQE262176 QAA262118:QAA262176 QJW262118:QJW262176 QTS262118:QTS262176 RDO262118:RDO262176 RNK262118:RNK262176 RXG262118:RXG262176 SHC262118:SHC262176 SQY262118:SQY262176 TAU262118:TAU262176 TKQ262118:TKQ262176 TUM262118:TUM262176 UEI262118:UEI262176 UOE262118:UOE262176 UYA262118:UYA262176 VHW262118:VHW262176 VRS262118:VRS262176 WBO262118:WBO262176 WLK262118:WLK262176 WVG262118:WVG262176 IU327654:IU327712 SQ327654:SQ327712 ACM327654:ACM327712 AMI327654:AMI327712 AWE327654:AWE327712 BGA327654:BGA327712 BPW327654:BPW327712 BZS327654:BZS327712 CJO327654:CJO327712 CTK327654:CTK327712 DDG327654:DDG327712 DNC327654:DNC327712 DWY327654:DWY327712 EGU327654:EGU327712 EQQ327654:EQQ327712 FAM327654:FAM327712 FKI327654:FKI327712 FUE327654:FUE327712 GEA327654:GEA327712 GNW327654:GNW327712 GXS327654:GXS327712 HHO327654:HHO327712 HRK327654:HRK327712 IBG327654:IBG327712 ILC327654:ILC327712 IUY327654:IUY327712 JEU327654:JEU327712 JOQ327654:JOQ327712 JYM327654:JYM327712 KII327654:KII327712 KSE327654:KSE327712 LCA327654:LCA327712 LLW327654:LLW327712 LVS327654:LVS327712 MFO327654:MFO327712 MPK327654:MPK327712 MZG327654:MZG327712 NJC327654:NJC327712 NSY327654:NSY327712 OCU327654:OCU327712 OMQ327654:OMQ327712 OWM327654:OWM327712 PGI327654:PGI327712 PQE327654:PQE327712 QAA327654:QAA327712 QJW327654:QJW327712 QTS327654:QTS327712 RDO327654:RDO327712 RNK327654:RNK327712 RXG327654:RXG327712 SHC327654:SHC327712 SQY327654:SQY327712 TAU327654:TAU327712 TKQ327654:TKQ327712 TUM327654:TUM327712 UEI327654:UEI327712 UOE327654:UOE327712 UYA327654:UYA327712 VHW327654:VHW327712 VRS327654:VRS327712 WBO327654:WBO327712 WLK327654:WLK327712 WVG327654:WVG327712 IU393190:IU393248 SQ393190:SQ393248 ACM393190:ACM393248 AMI393190:AMI393248 AWE393190:AWE393248 BGA393190:BGA393248 BPW393190:BPW393248 BZS393190:BZS393248 CJO393190:CJO393248 CTK393190:CTK393248 DDG393190:DDG393248 DNC393190:DNC393248 DWY393190:DWY393248 EGU393190:EGU393248 EQQ393190:EQQ393248 FAM393190:FAM393248 FKI393190:FKI393248 FUE393190:FUE393248 GEA393190:GEA393248 GNW393190:GNW393248 GXS393190:GXS393248 HHO393190:HHO393248 HRK393190:HRK393248 IBG393190:IBG393248 ILC393190:ILC393248 IUY393190:IUY393248 JEU393190:JEU393248 JOQ393190:JOQ393248 JYM393190:JYM393248 KII393190:KII393248 KSE393190:KSE393248 LCA393190:LCA393248 LLW393190:LLW393248 LVS393190:LVS393248 MFO393190:MFO393248 MPK393190:MPK393248 MZG393190:MZG393248 NJC393190:NJC393248 NSY393190:NSY393248 OCU393190:OCU393248 OMQ393190:OMQ393248 OWM393190:OWM393248 PGI393190:PGI393248 PQE393190:PQE393248 QAA393190:QAA393248 QJW393190:QJW393248 QTS393190:QTS393248 RDO393190:RDO393248 RNK393190:RNK393248 RXG393190:RXG393248 SHC393190:SHC393248 SQY393190:SQY393248 TAU393190:TAU393248 TKQ393190:TKQ393248 TUM393190:TUM393248 UEI393190:UEI393248 UOE393190:UOE393248 UYA393190:UYA393248 VHW393190:VHW393248 VRS393190:VRS393248 WBO393190:WBO393248 WLK393190:WLK393248 WVG393190:WVG393248 IU458726:IU458784 SQ458726:SQ458784 ACM458726:ACM458784 AMI458726:AMI458784 AWE458726:AWE458784 BGA458726:BGA458784 BPW458726:BPW458784 BZS458726:BZS458784 CJO458726:CJO458784 CTK458726:CTK458784 DDG458726:DDG458784 DNC458726:DNC458784 DWY458726:DWY458784 EGU458726:EGU458784 EQQ458726:EQQ458784 FAM458726:FAM458784 FKI458726:FKI458784 FUE458726:FUE458784 GEA458726:GEA458784 GNW458726:GNW458784 GXS458726:GXS458784 HHO458726:HHO458784 HRK458726:HRK458784 IBG458726:IBG458784 ILC458726:ILC458784 IUY458726:IUY458784 JEU458726:JEU458784 JOQ458726:JOQ458784 JYM458726:JYM458784 KII458726:KII458784 KSE458726:KSE458784 LCA458726:LCA458784 LLW458726:LLW458784 LVS458726:LVS458784 MFO458726:MFO458784 MPK458726:MPK458784 MZG458726:MZG458784 NJC458726:NJC458784 NSY458726:NSY458784 OCU458726:OCU458784 OMQ458726:OMQ458784 OWM458726:OWM458784 PGI458726:PGI458784 PQE458726:PQE458784 QAA458726:QAA458784 QJW458726:QJW458784 QTS458726:QTS458784 RDO458726:RDO458784 RNK458726:RNK458784 RXG458726:RXG458784 SHC458726:SHC458784 SQY458726:SQY458784 TAU458726:TAU458784 TKQ458726:TKQ458784 TUM458726:TUM458784 UEI458726:UEI458784 UOE458726:UOE458784 UYA458726:UYA458784 VHW458726:VHW458784 VRS458726:VRS458784 WBO458726:WBO458784 WLK458726:WLK458784 WVG458726:WVG458784 IU524262:IU524320 SQ524262:SQ524320 ACM524262:ACM524320 AMI524262:AMI524320 AWE524262:AWE524320 BGA524262:BGA524320 BPW524262:BPW524320 BZS524262:BZS524320 CJO524262:CJO524320 CTK524262:CTK524320 DDG524262:DDG524320 DNC524262:DNC524320 DWY524262:DWY524320 EGU524262:EGU524320 EQQ524262:EQQ524320 FAM524262:FAM524320 FKI524262:FKI524320 FUE524262:FUE524320 GEA524262:GEA524320 GNW524262:GNW524320 GXS524262:GXS524320 HHO524262:HHO524320 HRK524262:HRK524320 IBG524262:IBG524320 ILC524262:ILC524320 IUY524262:IUY524320 JEU524262:JEU524320 JOQ524262:JOQ524320 JYM524262:JYM524320 KII524262:KII524320 KSE524262:KSE524320 LCA524262:LCA524320 LLW524262:LLW524320 LVS524262:LVS524320 MFO524262:MFO524320 MPK524262:MPK524320 MZG524262:MZG524320 NJC524262:NJC524320 NSY524262:NSY524320 OCU524262:OCU524320 OMQ524262:OMQ524320 OWM524262:OWM524320 PGI524262:PGI524320 PQE524262:PQE524320 QAA524262:QAA524320 QJW524262:QJW524320 QTS524262:QTS524320 RDO524262:RDO524320 RNK524262:RNK524320 RXG524262:RXG524320 SHC524262:SHC524320 SQY524262:SQY524320 TAU524262:TAU524320 TKQ524262:TKQ524320 TUM524262:TUM524320 UEI524262:UEI524320 UOE524262:UOE524320 UYA524262:UYA524320 VHW524262:VHW524320 VRS524262:VRS524320 WBO524262:WBO524320 WLK524262:WLK524320 WVG524262:WVG524320 IU589798:IU589856 SQ589798:SQ589856 ACM589798:ACM589856 AMI589798:AMI589856 AWE589798:AWE589856 BGA589798:BGA589856 BPW589798:BPW589856 BZS589798:BZS589856 CJO589798:CJO589856 CTK589798:CTK589856 DDG589798:DDG589856 DNC589798:DNC589856 DWY589798:DWY589856 EGU589798:EGU589856 EQQ589798:EQQ589856 FAM589798:FAM589856 FKI589798:FKI589856 FUE589798:FUE589856 GEA589798:GEA589856 GNW589798:GNW589856 GXS589798:GXS589856 HHO589798:HHO589856 HRK589798:HRK589856 IBG589798:IBG589856 ILC589798:ILC589856 IUY589798:IUY589856 JEU589798:JEU589856 JOQ589798:JOQ589856 JYM589798:JYM589856 KII589798:KII589856 KSE589798:KSE589856 LCA589798:LCA589856 LLW589798:LLW589856 LVS589798:LVS589856 MFO589798:MFO589856 MPK589798:MPK589856 MZG589798:MZG589856 NJC589798:NJC589856 NSY589798:NSY589856 OCU589798:OCU589856 OMQ589798:OMQ589856 OWM589798:OWM589856 PGI589798:PGI589856 PQE589798:PQE589856 QAA589798:QAA589856 QJW589798:QJW589856 QTS589798:QTS589856 RDO589798:RDO589856 RNK589798:RNK589856 RXG589798:RXG589856 SHC589798:SHC589856 SQY589798:SQY589856 TAU589798:TAU589856 TKQ589798:TKQ589856 TUM589798:TUM589856 UEI589798:UEI589856 UOE589798:UOE589856 UYA589798:UYA589856 VHW589798:VHW589856 VRS589798:VRS589856 WBO589798:WBO589856 WLK589798:WLK589856 WVG589798:WVG589856 IU655334:IU655392 SQ655334:SQ655392 ACM655334:ACM655392 AMI655334:AMI655392 AWE655334:AWE655392 BGA655334:BGA655392 BPW655334:BPW655392 BZS655334:BZS655392 CJO655334:CJO655392 CTK655334:CTK655392 DDG655334:DDG655392 DNC655334:DNC655392 DWY655334:DWY655392 EGU655334:EGU655392 EQQ655334:EQQ655392 FAM655334:FAM655392 FKI655334:FKI655392 FUE655334:FUE655392 GEA655334:GEA655392 GNW655334:GNW655392 GXS655334:GXS655392 HHO655334:HHO655392 HRK655334:HRK655392 IBG655334:IBG655392 ILC655334:ILC655392 IUY655334:IUY655392 JEU655334:JEU655392 JOQ655334:JOQ655392 JYM655334:JYM655392 KII655334:KII655392 KSE655334:KSE655392 LCA655334:LCA655392 LLW655334:LLW655392 LVS655334:LVS655392 MFO655334:MFO655392 MPK655334:MPK655392 MZG655334:MZG655392 NJC655334:NJC655392 NSY655334:NSY655392 OCU655334:OCU655392 OMQ655334:OMQ655392 OWM655334:OWM655392 PGI655334:PGI655392 PQE655334:PQE655392 QAA655334:QAA655392 QJW655334:QJW655392 QTS655334:QTS655392 RDO655334:RDO655392 RNK655334:RNK655392 RXG655334:RXG655392 SHC655334:SHC655392 SQY655334:SQY655392 TAU655334:TAU655392 TKQ655334:TKQ655392 TUM655334:TUM655392 UEI655334:UEI655392 UOE655334:UOE655392 UYA655334:UYA655392 VHW655334:VHW655392 VRS655334:VRS655392 WBO655334:WBO655392 WLK655334:WLK655392 WVG655334:WVG655392 IU720870:IU720928 SQ720870:SQ720928 ACM720870:ACM720928 AMI720870:AMI720928 AWE720870:AWE720928 BGA720870:BGA720928 BPW720870:BPW720928 BZS720870:BZS720928 CJO720870:CJO720928 CTK720870:CTK720928 DDG720870:DDG720928 DNC720870:DNC720928 DWY720870:DWY720928 EGU720870:EGU720928 EQQ720870:EQQ720928 FAM720870:FAM720928 FKI720870:FKI720928 FUE720870:FUE720928 GEA720870:GEA720928 GNW720870:GNW720928 GXS720870:GXS720928 HHO720870:HHO720928 HRK720870:HRK720928 IBG720870:IBG720928 ILC720870:ILC720928 IUY720870:IUY720928 JEU720870:JEU720928 JOQ720870:JOQ720928 JYM720870:JYM720928 KII720870:KII720928 KSE720870:KSE720928 LCA720870:LCA720928 LLW720870:LLW720928 LVS720870:LVS720928 MFO720870:MFO720928 MPK720870:MPK720928 MZG720870:MZG720928 NJC720870:NJC720928 NSY720870:NSY720928 OCU720870:OCU720928 OMQ720870:OMQ720928 OWM720870:OWM720928 PGI720870:PGI720928 PQE720870:PQE720928 QAA720870:QAA720928 QJW720870:QJW720928 QTS720870:QTS720928 RDO720870:RDO720928 RNK720870:RNK720928 RXG720870:RXG720928 SHC720870:SHC720928 SQY720870:SQY720928 TAU720870:TAU720928 TKQ720870:TKQ720928 TUM720870:TUM720928 UEI720870:UEI720928 UOE720870:UOE720928 UYA720870:UYA720928 VHW720870:VHW720928 VRS720870:VRS720928 WBO720870:WBO720928 WLK720870:WLK720928 WVG720870:WVG720928 IU786406:IU786464 SQ786406:SQ786464 ACM786406:ACM786464 AMI786406:AMI786464 AWE786406:AWE786464 BGA786406:BGA786464 BPW786406:BPW786464 BZS786406:BZS786464 CJO786406:CJO786464 CTK786406:CTK786464 DDG786406:DDG786464 DNC786406:DNC786464 DWY786406:DWY786464 EGU786406:EGU786464 EQQ786406:EQQ786464 FAM786406:FAM786464 FKI786406:FKI786464 FUE786406:FUE786464 GEA786406:GEA786464 GNW786406:GNW786464 GXS786406:GXS786464 HHO786406:HHO786464 HRK786406:HRK786464 IBG786406:IBG786464 ILC786406:ILC786464 IUY786406:IUY786464 JEU786406:JEU786464 JOQ786406:JOQ786464 JYM786406:JYM786464 KII786406:KII786464 KSE786406:KSE786464 LCA786406:LCA786464 LLW786406:LLW786464 LVS786406:LVS786464 MFO786406:MFO786464 MPK786406:MPK786464 MZG786406:MZG786464 NJC786406:NJC786464 NSY786406:NSY786464 OCU786406:OCU786464 OMQ786406:OMQ786464 OWM786406:OWM786464 PGI786406:PGI786464 PQE786406:PQE786464 QAA786406:QAA786464 QJW786406:QJW786464 QTS786406:QTS786464 RDO786406:RDO786464 RNK786406:RNK786464 RXG786406:RXG786464 SHC786406:SHC786464 SQY786406:SQY786464 TAU786406:TAU786464 TKQ786406:TKQ786464 TUM786406:TUM786464 UEI786406:UEI786464 UOE786406:UOE786464 UYA786406:UYA786464 VHW786406:VHW786464 VRS786406:VRS786464 WBO786406:WBO786464 WLK786406:WLK786464 WVG786406:WVG786464 IU851942:IU852000 SQ851942:SQ852000 ACM851942:ACM852000 AMI851942:AMI852000 AWE851942:AWE852000 BGA851942:BGA852000 BPW851942:BPW852000 BZS851942:BZS852000 CJO851942:CJO852000 CTK851942:CTK852000 DDG851942:DDG852000 DNC851942:DNC852000 DWY851942:DWY852000 EGU851942:EGU852000 EQQ851942:EQQ852000 FAM851942:FAM852000 FKI851942:FKI852000 FUE851942:FUE852000 GEA851942:GEA852000 GNW851942:GNW852000 GXS851942:GXS852000 HHO851942:HHO852000 HRK851942:HRK852000 IBG851942:IBG852000 ILC851942:ILC852000 IUY851942:IUY852000 JEU851942:JEU852000 JOQ851942:JOQ852000 JYM851942:JYM852000 KII851942:KII852000 KSE851942:KSE852000 LCA851942:LCA852000 LLW851942:LLW852000 LVS851942:LVS852000 MFO851942:MFO852000 MPK851942:MPK852000 MZG851942:MZG852000 NJC851942:NJC852000 NSY851942:NSY852000 OCU851942:OCU852000 OMQ851942:OMQ852000 OWM851942:OWM852000 PGI851942:PGI852000 PQE851942:PQE852000 QAA851942:QAA852000 QJW851942:QJW852000 QTS851942:QTS852000 RDO851942:RDO852000 RNK851942:RNK852000 RXG851942:RXG852000 SHC851942:SHC852000 SQY851942:SQY852000 TAU851942:TAU852000 TKQ851942:TKQ852000 TUM851942:TUM852000 UEI851942:UEI852000 UOE851942:UOE852000 UYA851942:UYA852000 VHW851942:VHW852000 VRS851942:VRS852000 WBO851942:WBO852000 WLK851942:WLK852000 WVG851942:WVG852000 IU917478:IU917536 SQ917478:SQ917536 ACM917478:ACM917536 AMI917478:AMI917536 AWE917478:AWE917536 BGA917478:BGA917536 BPW917478:BPW917536 BZS917478:BZS917536 CJO917478:CJO917536 CTK917478:CTK917536 DDG917478:DDG917536 DNC917478:DNC917536 DWY917478:DWY917536 EGU917478:EGU917536 EQQ917478:EQQ917536 FAM917478:FAM917536 FKI917478:FKI917536 FUE917478:FUE917536 GEA917478:GEA917536 GNW917478:GNW917536 GXS917478:GXS917536 HHO917478:HHO917536 HRK917478:HRK917536 IBG917478:IBG917536 ILC917478:ILC917536 IUY917478:IUY917536 JEU917478:JEU917536 JOQ917478:JOQ917536 JYM917478:JYM917536 KII917478:KII917536 KSE917478:KSE917536 LCA917478:LCA917536 LLW917478:LLW917536 LVS917478:LVS917536 MFO917478:MFO917536 MPK917478:MPK917536 MZG917478:MZG917536 NJC917478:NJC917536 NSY917478:NSY917536 OCU917478:OCU917536 OMQ917478:OMQ917536 OWM917478:OWM917536 PGI917478:PGI917536 PQE917478:PQE917536 QAA917478:QAA917536 QJW917478:QJW917536 QTS917478:QTS917536 RDO917478:RDO917536 RNK917478:RNK917536 RXG917478:RXG917536 SHC917478:SHC917536 SQY917478:SQY917536 TAU917478:TAU917536 TKQ917478:TKQ917536 TUM917478:TUM917536 UEI917478:UEI917536 UOE917478:UOE917536 UYA917478:UYA917536 VHW917478:VHW917536 VRS917478:VRS917536 WBO917478:WBO917536 WLK917478:WLK917536 WVG917478:WVG917536 IU983014:IU983072 SQ983014:SQ983072 ACM983014:ACM983072 AMI983014:AMI983072 AWE983014:AWE983072 BGA983014:BGA983072 BPW983014:BPW983072 BZS983014:BZS983072 CJO983014:CJO983072 CTK983014:CTK983072 DDG983014:DDG983072 DNC983014:DNC983072 DWY983014:DWY983072 EGU983014:EGU983072 EQQ983014:EQQ983072 FAM983014:FAM983072 FKI983014:FKI983072 FUE983014:FUE983072 GEA983014:GEA983072 GNW983014:GNW983072 GXS983014:GXS983072 HHO983014:HHO983072 HRK983014:HRK983072 IBG983014:IBG983072 ILC983014:ILC983072 IUY983014:IUY983072 JEU983014:JEU983072 JOQ983014:JOQ983072 JYM983014:JYM983072 KII983014:KII983072 KSE983014:KSE983072 LCA983014:LCA983072 LLW983014:LLW983072 LVS983014:LVS983072 MFO983014:MFO983072 MPK983014:MPK983072 MZG983014:MZG983072 NJC983014:NJC983072 NSY983014:NSY983072 OCU983014:OCU983072 OMQ983014:OMQ983072 OWM983014:OWM983072 PGI983014:PGI983072 PQE983014:PQE983072 QAA983014:QAA983072 QJW983014:QJW983072 QTS983014:QTS983072 RDO983014:RDO983072 RNK983014:RNK983072 RXG983014:RXG983072 SHC983014:SHC983072 SQY983014:SQY983072 TAU983014:TAU983072 TKQ983014:TKQ983072 TUM983014:TUM983072 UEI983014:UEI983072 UOE983014:UOE983072 UYA983014:UYA983072 VHW983014:VHW983072 VRS983014:VRS983072 WBO983014:WBO983072 WLK983014:WLK983072 WVG983014:WVG983072 IV65531:IW65568 SR65531:SS65568 ACN65531:ACO65568 AMJ65531:AMK65568 AWF65531:AWG65568 BGB65531:BGC65568 BPX65531:BPY65568 BZT65531:BZU65568 CJP65531:CJQ65568 CTL65531:CTM65568 DDH65531:DDI65568 DND65531:DNE65568 DWZ65531:DXA65568 EGV65531:EGW65568 EQR65531:EQS65568 FAN65531:FAO65568 FKJ65531:FKK65568 FUF65531:FUG65568 GEB65531:GEC65568 GNX65531:GNY65568 GXT65531:GXU65568 HHP65531:HHQ65568 HRL65531:HRM65568 IBH65531:IBI65568 ILD65531:ILE65568 IUZ65531:IVA65568 JEV65531:JEW65568 JOR65531:JOS65568 JYN65531:JYO65568 KIJ65531:KIK65568 KSF65531:KSG65568 LCB65531:LCC65568 LLX65531:LLY65568 LVT65531:LVU65568 MFP65531:MFQ65568 MPL65531:MPM65568 MZH65531:MZI65568 NJD65531:NJE65568 NSZ65531:NTA65568 OCV65531:OCW65568 OMR65531:OMS65568 OWN65531:OWO65568 PGJ65531:PGK65568 PQF65531:PQG65568 QAB65531:QAC65568 QJX65531:QJY65568 QTT65531:QTU65568 RDP65531:RDQ65568 RNL65531:RNM65568 RXH65531:RXI65568 SHD65531:SHE65568 SQZ65531:SRA65568 TAV65531:TAW65568 TKR65531:TKS65568 TUN65531:TUO65568 UEJ65531:UEK65568 UOF65531:UOG65568 UYB65531:UYC65568 VHX65531:VHY65568 VRT65531:VRU65568 WBP65531:WBQ65568 WLL65531:WLM65568 WVH65531:WVI65568 IV131067:IW131104 SR131067:SS131104 ACN131067:ACO131104 AMJ131067:AMK131104 AWF131067:AWG131104 BGB131067:BGC131104 BPX131067:BPY131104 BZT131067:BZU131104 CJP131067:CJQ131104 CTL131067:CTM131104 DDH131067:DDI131104 DND131067:DNE131104 DWZ131067:DXA131104 EGV131067:EGW131104 EQR131067:EQS131104 FAN131067:FAO131104 FKJ131067:FKK131104 FUF131067:FUG131104 GEB131067:GEC131104 GNX131067:GNY131104 GXT131067:GXU131104 HHP131067:HHQ131104 HRL131067:HRM131104 IBH131067:IBI131104 ILD131067:ILE131104 IUZ131067:IVA131104 JEV131067:JEW131104 JOR131067:JOS131104 JYN131067:JYO131104 KIJ131067:KIK131104 KSF131067:KSG131104 LCB131067:LCC131104 LLX131067:LLY131104 LVT131067:LVU131104 MFP131067:MFQ131104 MPL131067:MPM131104 MZH131067:MZI131104 NJD131067:NJE131104 NSZ131067:NTA131104 OCV131067:OCW131104 OMR131067:OMS131104 OWN131067:OWO131104 PGJ131067:PGK131104 PQF131067:PQG131104 QAB131067:QAC131104 QJX131067:QJY131104 QTT131067:QTU131104 RDP131067:RDQ131104 RNL131067:RNM131104 RXH131067:RXI131104 SHD131067:SHE131104 SQZ131067:SRA131104 TAV131067:TAW131104 TKR131067:TKS131104 TUN131067:TUO131104 UEJ131067:UEK131104 UOF131067:UOG131104 UYB131067:UYC131104 VHX131067:VHY131104 VRT131067:VRU131104 WBP131067:WBQ131104 WLL131067:WLM131104 WVH131067:WVI131104 IV196603:IW196640 SR196603:SS196640 ACN196603:ACO196640 AMJ196603:AMK196640 AWF196603:AWG196640 BGB196603:BGC196640 BPX196603:BPY196640 BZT196603:BZU196640 CJP196603:CJQ196640 CTL196603:CTM196640 DDH196603:DDI196640 DND196603:DNE196640 DWZ196603:DXA196640 EGV196603:EGW196640 EQR196603:EQS196640 FAN196603:FAO196640 FKJ196603:FKK196640 FUF196603:FUG196640 GEB196603:GEC196640 GNX196603:GNY196640 GXT196603:GXU196640 HHP196603:HHQ196640 HRL196603:HRM196640 IBH196603:IBI196640 ILD196603:ILE196640 IUZ196603:IVA196640 JEV196603:JEW196640 JOR196603:JOS196640 JYN196603:JYO196640 KIJ196603:KIK196640 KSF196603:KSG196640 LCB196603:LCC196640 LLX196603:LLY196640 LVT196603:LVU196640 MFP196603:MFQ196640 MPL196603:MPM196640 MZH196603:MZI196640 NJD196603:NJE196640 NSZ196603:NTA196640 OCV196603:OCW196640 OMR196603:OMS196640 OWN196603:OWO196640 PGJ196603:PGK196640 PQF196603:PQG196640 QAB196603:QAC196640 QJX196603:QJY196640 QTT196603:QTU196640 RDP196603:RDQ196640 RNL196603:RNM196640 RXH196603:RXI196640 SHD196603:SHE196640 SQZ196603:SRA196640 TAV196603:TAW196640 TKR196603:TKS196640 TUN196603:TUO196640 UEJ196603:UEK196640 UOF196603:UOG196640 UYB196603:UYC196640 VHX196603:VHY196640 VRT196603:VRU196640 WBP196603:WBQ196640 WLL196603:WLM196640 WVH196603:WVI196640 IV262139:IW262176 SR262139:SS262176 ACN262139:ACO262176 AMJ262139:AMK262176 AWF262139:AWG262176 BGB262139:BGC262176 BPX262139:BPY262176 BZT262139:BZU262176 CJP262139:CJQ262176 CTL262139:CTM262176 DDH262139:DDI262176 DND262139:DNE262176 DWZ262139:DXA262176 EGV262139:EGW262176 EQR262139:EQS262176 FAN262139:FAO262176 FKJ262139:FKK262176 FUF262139:FUG262176 GEB262139:GEC262176 GNX262139:GNY262176 GXT262139:GXU262176 HHP262139:HHQ262176 HRL262139:HRM262176 IBH262139:IBI262176 ILD262139:ILE262176 IUZ262139:IVA262176 JEV262139:JEW262176 JOR262139:JOS262176 JYN262139:JYO262176 KIJ262139:KIK262176 KSF262139:KSG262176 LCB262139:LCC262176 LLX262139:LLY262176 LVT262139:LVU262176 MFP262139:MFQ262176 MPL262139:MPM262176 MZH262139:MZI262176 NJD262139:NJE262176 NSZ262139:NTA262176 OCV262139:OCW262176 OMR262139:OMS262176 OWN262139:OWO262176 PGJ262139:PGK262176 PQF262139:PQG262176 QAB262139:QAC262176 QJX262139:QJY262176 QTT262139:QTU262176 RDP262139:RDQ262176 RNL262139:RNM262176 RXH262139:RXI262176 SHD262139:SHE262176 SQZ262139:SRA262176 TAV262139:TAW262176 TKR262139:TKS262176 TUN262139:TUO262176 UEJ262139:UEK262176 UOF262139:UOG262176 UYB262139:UYC262176 VHX262139:VHY262176 VRT262139:VRU262176 WBP262139:WBQ262176 WLL262139:WLM262176 WVH262139:WVI262176 IV327675:IW327712 SR327675:SS327712 ACN327675:ACO327712 AMJ327675:AMK327712 AWF327675:AWG327712 BGB327675:BGC327712 BPX327675:BPY327712 BZT327675:BZU327712 CJP327675:CJQ327712 CTL327675:CTM327712 DDH327675:DDI327712 DND327675:DNE327712 DWZ327675:DXA327712 EGV327675:EGW327712 EQR327675:EQS327712 FAN327675:FAO327712 FKJ327675:FKK327712 FUF327675:FUG327712 GEB327675:GEC327712 GNX327675:GNY327712 GXT327675:GXU327712 HHP327675:HHQ327712 HRL327675:HRM327712 IBH327675:IBI327712 ILD327675:ILE327712 IUZ327675:IVA327712 JEV327675:JEW327712 JOR327675:JOS327712 JYN327675:JYO327712 KIJ327675:KIK327712 KSF327675:KSG327712 LCB327675:LCC327712 LLX327675:LLY327712 LVT327675:LVU327712 MFP327675:MFQ327712 MPL327675:MPM327712 MZH327675:MZI327712 NJD327675:NJE327712 NSZ327675:NTA327712 OCV327675:OCW327712 OMR327675:OMS327712 OWN327675:OWO327712 PGJ327675:PGK327712 PQF327675:PQG327712 QAB327675:QAC327712 QJX327675:QJY327712 QTT327675:QTU327712 RDP327675:RDQ327712 RNL327675:RNM327712 RXH327675:RXI327712 SHD327675:SHE327712 SQZ327675:SRA327712 TAV327675:TAW327712 TKR327675:TKS327712 TUN327675:TUO327712 UEJ327675:UEK327712 UOF327675:UOG327712 UYB327675:UYC327712 VHX327675:VHY327712 VRT327675:VRU327712 WBP327675:WBQ327712 WLL327675:WLM327712 WVH327675:WVI327712 IV393211:IW393248 SR393211:SS393248 ACN393211:ACO393248 AMJ393211:AMK393248 AWF393211:AWG393248 BGB393211:BGC393248 BPX393211:BPY393248 BZT393211:BZU393248 CJP393211:CJQ393248 CTL393211:CTM393248 DDH393211:DDI393248 DND393211:DNE393248 DWZ393211:DXA393248 EGV393211:EGW393248 EQR393211:EQS393248 FAN393211:FAO393248 FKJ393211:FKK393248 FUF393211:FUG393248 GEB393211:GEC393248 GNX393211:GNY393248 GXT393211:GXU393248 HHP393211:HHQ393248 HRL393211:HRM393248 IBH393211:IBI393248 ILD393211:ILE393248 IUZ393211:IVA393248 JEV393211:JEW393248 JOR393211:JOS393248 JYN393211:JYO393248 KIJ393211:KIK393248 KSF393211:KSG393248 LCB393211:LCC393248 LLX393211:LLY393248 LVT393211:LVU393248 MFP393211:MFQ393248 MPL393211:MPM393248 MZH393211:MZI393248 NJD393211:NJE393248 NSZ393211:NTA393248 OCV393211:OCW393248 OMR393211:OMS393248 OWN393211:OWO393248 PGJ393211:PGK393248 PQF393211:PQG393248 QAB393211:QAC393248 QJX393211:QJY393248 QTT393211:QTU393248 RDP393211:RDQ393248 RNL393211:RNM393248 RXH393211:RXI393248 SHD393211:SHE393248 SQZ393211:SRA393248 TAV393211:TAW393248 TKR393211:TKS393248 TUN393211:TUO393248 UEJ393211:UEK393248 UOF393211:UOG393248 UYB393211:UYC393248 VHX393211:VHY393248 VRT393211:VRU393248 WBP393211:WBQ393248 WLL393211:WLM393248 WVH393211:WVI393248 IV458747:IW458784 SR458747:SS458784 ACN458747:ACO458784 AMJ458747:AMK458784 AWF458747:AWG458784 BGB458747:BGC458784 BPX458747:BPY458784 BZT458747:BZU458784 CJP458747:CJQ458784 CTL458747:CTM458784 DDH458747:DDI458784 DND458747:DNE458784 DWZ458747:DXA458784 EGV458747:EGW458784 EQR458747:EQS458784 FAN458747:FAO458784 FKJ458747:FKK458784 FUF458747:FUG458784 GEB458747:GEC458784 GNX458747:GNY458784 GXT458747:GXU458784 HHP458747:HHQ458784 HRL458747:HRM458784 IBH458747:IBI458784 ILD458747:ILE458784 IUZ458747:IVA458784 JEV458747:JEW458784 JOR458747:JOS458784 JYN458747:JYO458784 KIJ458747:KIK458784 KSF458747:KSG458784 LCB458747:LCC458784 LLX458747:LLY458784 LVT458747:LVU458784 MFP458747:MFQ458784 MPL458747:MPM458784 MZH458747:MZI458784 NJD458747:NJE458784 NSZ458747:NTA458784 OCV458747:OCW458784 OMR458747:OMS458784 OWN458747:OWO458784 PGJ458747:PGK458784 PQF458747:PQG458784 QAB458747:QAC458784 QJX458747:QJY458784 QTT458747:QTU458784 RDP458747:RDQ458784 RNL458747:RNM458784 RXH458747:RXI458784 SHD458747:SHE458784 SQZ458747:SRA458784 TAV458747:TAW458784 TKR458747:TKS458784 TUN458747:TUO458784 UEJ458747:UEK458784 UOF458747:UOG458784 UYB458747:UYC458784 VHX458747:VHY458784 VRT458747:VRU458784 WBP458747:WBQ458784 WLL458747:WLM458784 WVH458747:WVI458784 IV524283:IW524320 SR524283:SS524320 ACN524283:ACO524320 AMJ524283:AMK524320 AWF524283:AWG524320 BGB524283:BGC524320 BPX524283:BPY524320 BZT524283:BZU524320 CJP524283:CJQ524320 CTL524283:CTM524320 DDH524283:DDI524320 DND524283:DNE524320 DWZ524283:DXA524320 EGV524283:EGW524320 EQR524283:EQS524320 FAN524283:FAO524320 FKJ524283:FKK524320 FUF524283:FUG524320 GEB524283:GEC524320 GNX524283:GNY524320 GXT524283:GXU524320 HHP524283:HHQ524320 HRL524283:HRM524320 IBH524283:IBI524320 ILD524283:ILE524320 IUZ524283:IVA524320 JEV524283:JEW524320 JOR524283:JOS524320 JYN524283:JYO524320 KIJ524283:KIK524320 KSF524283:KSG524320 LCB524283:LCC524320 LLX524283:LLY524320 LVT524283:LVU524320 MFP524283:MFQ524320 MPL524283:MPM524320 MZH524283:MZI524320 NJD524283:NJE524320 NSZ524283:NTA524320 OCV524283:OCW524320 OMR524283:OMS524320 OWN524283:OWO524320 PGJ524283:PGK524320 PQF524283:PQG524320 QAB524283:QAC524320 QJX524283:QJY524320 QTT524283:QTU524320 RDP524283:RDQ524320 RNL524283:RNM524320 RXH524283:RXI524320 SHD524283:SHE524320 SQZ524283:SRA524320 TAV524283:TAW524320 TKR524283:TKS524320 TUN524283:TUO524320 UEJ524283:UEK524320 UOF524283:UOG524320 UYB524283:UYC524320 VHX524283:VHY524320 VRT524283:VRU524320 WBP524283:WBQ524320 WLL524283:WLM524320 WVH524283:WVI524320 IV589819:IW589856 SR589819:SS589856 ACN589819:ACO589856 AMJ589819:AMK589856 AWF589819:AWG589856 BGB589819:BGC589856 BPX589819:BPY589856 BZT589819:BZU589856 CJP589819:CJQ589856 CTL589819:CTM589856 DDH589819:DDI589856 DND589819:DNE589856 DWZ589819:DXA589856 EGV589819:EGW589856 EQR589819:EQS589856 FAN589819:FAO589856 FKJ589819:FKK589856 FUF589819:FUG589856 GEB589819:GEC589856 GNX589819:GNY589856 GXT589819:GXU589856 HHP589819:HHQ589856 HRL589819:HRM589856 IBH589819:IBI589856 ILD589819:ILE589856 IUZ589819:IVA589856 JEV589819:JEW589856 JOR589819:JOS589856 JYN589819:JYO589856 KIJ589819:KIK589856 KSF589819:KSG589856 LCB589819:LCC589856 LLX589819:LLY589856 LVT589819:LVU589856 MFP589819:MFQ589856 MPL589819:MPM589856 MZH589819:MZI589856 NJD589819:NJE589856 NSZ589819:NTA589856 OCV589819:OCW589856 OMR589819:OMS589856 OWN589819:OWO589856 PGJ589819:PGK589856 PQF589819:PQG589856 QAB589819:QAC589856 QJX589819:QJY589856 QTT589819:QTU589856 RDP589819:RDQ589856 RNL589819:RNM589856 RXH589819:RXI589856 SHD589819:SHE589856 SQZ589819:SRA589856 TAV589819:TAW589856 TKR589819:TKS589856 TUN589819:TUO589856 UEJ589819:UEK589856 UOF589819:UOG589856 UYB589819:UYC589856 VHX589819:VHY589856 VRT589819:VRU589856 WBP589819:WBQ589856 WLL589819:WLM589856 WVH589819:WVI589856 IV655355:IW655392 SR655355:SS655392 ACN655355:ACO655392 AMJ655355:AMK655392 AWF655355:AWG655392 BGB655355:BGC655392 BPX655355:BPY655392 BZT655355:BZU655392 CJP655355:CJQ655392 CTL655355:CTM655392 DDH655355:DDI655392 DND655355:DNE655392 DWZ655355:DXA655392 EGV655355:EGW655392 EQR655355:EQS655392 FAN655355:FAO655392 FKJ655355:FKK655392 FUF655355:FUG655392 GEB655355:GEC655392 GNX655355:GNY655392 GXT655355:GXU655392 HHP655355:HHQ655392 HRL655355:HRM655392 IBH655355:IBI655392 ILD655355:ILE655392 IUZ655355:IVA655392 JEV655355:JEW655392 JOR655355:JOS655392 JYN655355:JYO655392 KIJ655355:KIK655392 KSF655355:KSG655392 LCB655355:LCC655392 LLX655355:LLY655392 LVT655355:LVU655392 MFP655355:MFQ655392 MPL655355:MPM655392 MZH655355:MZI655392 NJD655355:NJE655392 NSZ655355:NTA655392 OCV655355:OCW655392 OMR655355:OMS655392 OWN655355:OWO655392 PGJ655355:PGK655392 PQF655355:PQG655392 QAB655355:QAC655392 QJX655355:QJY655392 QTT655355:QTU655392 RDP655355:RDQ655392 RNL655355:RNM655392 RXH655355:RXI655392 SHD655355:SHE655392 SQZ655355:SRA655392 TAV655355:TAW655392 TKR655355:TKS655392 TUN655355:TUO655392 UEJ655355:UEK655392 UOF655355:UOG655392 UYB655355:UYC655392 VHX655355:VHY655392 VRT655355:VRU655392 WBP655355:WBQ655392 WLL655355:WLM655392 WVH655355:WVI655392 IV720891:IW720928 SR720891:SS720928 ACN720891:ACO720928 AMJ720891:AMK720928 AWF720891:AWG720928 BGB720891:BGC720928 BPX720891:BPY720928 BZT720891:BZU720928 CJP720891:CJQ720928 CTL720891:CTM720928 DDH720891:DDI720928 DND720891:DNE720928 DWZ720891:DXA720928 EGV720891:EGW720928 EQR720891:EQS720928 FAN720891:FAO720928 FKJ720891:FKK720928 FUF720891:FUG720928 GEB720891:GEC720928 GNX720891:GNY720928 GXT720891:GXU720928 HHP720891:HHQ720928 HRL720891:HRM720928 IBH720891:IBI720928 ILD720891:ILE720928 IUZ720891:IVA720928 JEV720891:JEW720928 JOR720891:JOS720928 JYN720891:JYO720928 KIJ720891:KIK720928 KSF720891:KSG720928 LCB720891:LCC720928 LLX720891:LLY720928 LVT720891:LVU720928 MFP720891:MFQ720928 MPL720891:MPM720928 MZH720891:MZI720928 NJD720891:NJE720928 NSZ720891:NTA720928 OCV720891:OCW720928 OMR720891:OMS720928 OWN720891:OWO720928 PGJ720891:PGK720928 PQF720891:PQG720928 QAB720891:QAC720928 QJX720891:QJY720928 QTT720891:QTU720928 RDP720891:RDQ720928 RNL720891:RNM720928 RXH720891:RXI720928 SHD720891:SHE720928 SQZ720891:SRA720928 TAV720891:TAW720928 TKR720891:TKS720928 TUN720891:TUO720928 UEJ720891:UEK720928 UOF720891:UOG720928 UYB720891:UYC720928 VHX720891:VHY720928 VRT720891:VRU720928 WBP720891:WBQ720928 WLL720891:WLM720928 WVH720891:WVI720928 IV786427:IW786464 SR786427:SS786464 ACN786427:ACO786464 AMJ786427:AMK786464 AWF786427:AWG786464 BGB786427:BGC786464 BPX786427:BPY786464 BZT786427:BZU786464 CJP786427:CJQ786464 CTL786427:CTM786464 DDH786427:DDI786464 DND786427:DNE786464 DWZ786427:DXA786464 EGV786427:EGW786464 EQR786427:EQS786464 FAN786427:FAO786464 FKJ786427:FKK786464 FUF786427:FUG786464 GEB786427:GEC786464 GNX786427:GNY786464 GXT786427:GXU786464 HHP786427:HHQ786464 HRL786427:HRM786464 IBH786427:IBI786464 ILD786427:ILE786464 IUZ786427:IVA786464 JEV786427:JEW786464 JOR786427:JOS786464 JYN786427:JYO786464 KIJ786427:KIK786464 KSF786427:KSG786464 LCB786427:LCC786464 LLX786427:LLY786464 LVT786427:LVU786464 MFP786427:MFQ786464 MPL786427:MPM786464 MZH786427:MZI786464 NJD786427:NJE786464 NSZ786427:NTA786464 OCV786427:OCW786464 OMR786427:OMS786464 OWN786427:OWO786464 PGJ786427:PGK786464 PQF786427:PQG786464 QAB786427:QAC786464 QJX786427:QJY786464 QTT786427:QTU786464 RDP786427:RDQ786464 RNL786427:RNM786464 RXH786427:RXI786464 SHD786427:SHE786464 SQZ786427:SRA786464 TAV786427:TAW786464 TKR786427:TKS786464 TUN786427:TUO786464 UEJ786427:UEK786464 UOF786427:UOG786464 UYB786427:UYC786464 VHX786427:VHY786464 VRT786427:VRU786464 WBP786427:WBQ786464 WLL786427:WLM786464 WVH786427:WVI786464 IV851963:IW852000 SR851963:SS852000 ACN851963:ACO852000 AMJ851963:AMK852000 AWF851963:AWG852000 BGB851963:BGC852000 BPX851963:BPY852000 BZT851963:BZU852000 CJP851963:CJQ852000 CTL851963:CTM852000 DDH851963:DDI852000 DND851963:DNE852000 DWZ851963:DXA852000 EGV851963:EGW852000 EQR851963:EQS852000 FAN851963:FAO852000 FKJ851963:FKK852000 FUF851963:FUG852000 GEB851963:GEC852000 GNX851963:GNY852000 GXT851963:GXU852000 HHP851963:HHQ852000 HRL851963:HRM852000 IBH851963:IBI852000 ILD851963:ILE852000 IUZ851963:IVA852000 JEV851963:JEW852000 JOR851963:JOS852000 JYN851963:JYO852000 KIJ851963:KIK852000 KSF851963:KSG852000 LCB851963:LCC852000 LLX851963:LLY852000 LVT851963:LVU852000 MFP851963:MFQ852000 MPL851963:MPM852000 MZH851963:MZI852000 NJD851963:NJE852000 NSZ851963:NTA852000 OCV851963:OCW852000 OMR851963:OMS852000 OWN851963:OWO852000 PGJ851963:PGK852000 PQF851963:PQG852000 QAB851963:QAC852000 QJX851963:QJY852000 QTT851963:QTU852000 RDP851963:RDQ852000 RNL851963:RNM852000 RXH851963:RXI852000 SHD851963:SHE852000 SQZ851963:SRA852000 TAV851963:TAW852000 TKR851963:TKS852000 TUN851963:TUO852000 UEJ851963:UEK852000 UOF851963:UOG852000 UYB851963:UYC852000 VHX851963:VHY852000 VRT851963:VRU852000 WBP851963:WBQ852000 WLL851963:WLM852000 WVH851963:WVI852000 IV917499:IW917536 SR917499:SS917536 ACN917499:ACO917536 AMJ917499:AMK917536 AWF917499:AWG917536 BGB917499:BGC917536 BPX917499:BPY917536 BZT917499:BZU917536 CJP917499:CJQ917536 CTL917499:CTM917536 DDH917499:DDI917536 DND917499:DNE917536 DWZ917499:DXA917536 EGV917499:EGW917536 EQR917499:EQS917536 FAN917499:FAO917536 FKJ917499:FKK917536 FUF917499:FUG917536 GEB917499:GEC917536 GNX917499:GNY917536 GXT917499:GXU917536 HHP917499:HHQ917536 HRL917499:HRM917536 IBH917499:IBI917536 ILD917499:ILE917536 IUZ917499:IVA917536 JEV917499:JEW917536 JOR917499:JOS917536 JYN917499:JYO917536 KIJ917499:KIK917536 KSF917499:KSG917536 LCB917499:LCC917536 LLX917499:LLY917536 LVT917499:LVU917536 MFP917499:MFQ917536 MPL917499:MPM917536 MZH917499:MZI917536 NJD917499:NJE917536 NSZ917499:NTA917536 OCV917499:OCW917536 OMR917499:OMS917536 OWN917499:OWO917536 PGJ917499:PGK917536 PQF917499:PQG917536 QAB917499:QAC917536 QJX917499:QJY917536 QTT917499:QTU917536 RDP917499:RDQ917536 RNL917499:RNM917536 RXH917499:RXI917536 SHD917499:SHE917536 SQZ917499:SRA917536 TAV917499:TAW917536 TKR917499:TKS917536 TUN917499:TUO917536 UEJ917499:UEK917536 UOF917499:UOG917536 UYB917499:UYC917536 VHX917499:VHY917536 VRT917499:VRU917536 WBP917499:WBQ917536 WLL917499:WLM917536 WVH917499:WVI917536 IV983035:IW983072 SR983035:SS983072 ACN983035:ACO983072 AMJ983035:AMK983072 AWF983035:AWG983072 BGB983035:BGC983072 BPX983035:BPY983072 BZT983035:BZU983072 CJP983035:CJQ983072 CTL983035:CTM983072 DDH983035:DDI983072 DND983035:DNE983072 DWZ983035:DXA983072 EGV983035:EGW983072 EQR983035:EQS983072 FAN983035:FAO983072 FKJ983035:FKK983072 FUF983035:FUG983072 GEB983035:GEC983072 GNX983035:GNY983072 GXT983035:GXU983072 HHP983035:HHQ983072 HRL983035:HRM983072 IBH983035:IBI983072 ILD983035:ILE983072 IUZ983035:IVA983072 JEV983035:JEW983072 JOR983035:JOS983072 JYN983035:JYO983072 KIJ983035:KIK983072 KSF983035:KSG983072 LCB983035:LCC983072 LLX983035:LLY983072 LVT983035:LVU983072 MFP983035:MFQ983072 MPL983035:MPM983072 MZH983035:MZI983072 NJD983035:NJE983072 NSZ983035:NTA983072 OCV983035:OCW983072 OMR983035:OMS983072 OWN983035:OWO983072 PGJ983035:PGK983072 PQF983035:PQG983072 QAB983035:QAC983072 QJX983035:QJY983072 QTT983035:QTU983072 RDP983035:RDQ983072 RNL983035:RNM983072 RXH983035:RXI983072 SHD983035:SHE983072 SQZ983035:SRA983072 TAV983035:TAW983072 TKR983035:TKS983072 TUN983035:TUO983072 UEJ983035:UEK983072 UOF983035:UOG983072 UYB983035:UYC983072 VHX983035:VHY983072 VRT983035:VRU983072 WBP983035:WBQ983072 WLL983035:WLM983072 WVH983035:WVI983072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IX65510:IX65568 ST65510:ST65568 ACP65510:ACP65568 AML65510:AML65568 AWH65510:AWH65568 BGD65510:BGD65568 BPZ65510:BPZ65568 BZV65510:BZV65568 CJR65510:CJR65568 CTN65510:CTN65568 DDJ65510:DDJ65568 DNF65510:DNF65568 DXB65510:DXB65568 EGX65510:EGX65568 EQT65510:EQT65568 FAP65510:FAP65568 FKL65510:FKL65568 FUH65510:FUH65568 GED65510:GED65568 GNZ65510:GNZ65568 GXV65510:GXV65568 HHR65510:HHR65568 HRN65510:HRN65568 IBJ65510:IBJ65568 ILF65510:ILF65568 IVB65510:IVB65568 JEX65510:JEX65568 JOT65510:JOT65568 JYP65510:JYP65568 KIL65510:KIL65568 KSH65510:KSH65568 LCD65510:LCD65568 LLZ65510:LLZ65568 LVV65510:LVV65568 MFR65510:MFR65568 MPN65510:MPN65568 MZJ65510:MZJ65568 NJF65510:NJF65568 NTB65510:NTB65568 OCX65510:OCX65568 OMT65510:OMT65568 OWP65510:OWP65568 PGL65510:PGL65568 PQH65510:PQH65568 QAD65510:QAD65568 QJZ65510:QJZ65568 QTV65510:QTV65568 RDR65510:RDR65568 RNN65510:RNN65568 RXJ65510:RXJ65568 SHF65510:SHF65568 SRB65510:SRB65568 TAX65510:TAX65568 TKT65510:TKT65568 TUP65510:TUP65568 UEL65510:UEL65568 UOH65510:UOH65568 UYD65510:UYD65568 VHZ65510:VHZ65568 VRV65510:VRV65568 WBR65510:WBR65568 WLN65510:WLN65568 WVJ65510:WVJ65568 IX131046:IX131104 ST131046:ST131104 ACP131046:ACP131104 AML131046:AML131104 AWH131046:AWH131104 BGD131046:BGD131104 BPZ131046:BPZ131104 BZV131046:BZV131104 CJR131046:CJR131104 CTN131046:CTN131104 DDJ131046:DDJ131104 DNF131046:DNF131104 DXB131046:DXB131104 EGX131046:EGX131104 EQT131046:EQT131104 FAP131046:FAP131104 FKL131046:FKL131104 FUH131046:FUH131104 GED131046:GED131104 GNZ131046:GNZ131104 GXV131046:GXV131104 HHR131046:HHR131104 HRN131046:HRN131104 IBJ131046:IBJ131104 ILF131046:ILF131104 IVB131046:IVB131104 JEX131046:JEX131104 JOT131046:JOT131104 JYP131046:JYP131104 KIL131046:KIL131104 KSH131046:KSH131104 LCD131046:LCD131104 LLZ131046:LLZ131104 LVV131046:LVV131104 MFR131046:MFR131104 MPN131046:MPN131104 MZJ131046:MZJ131104 NJF131046:NJF131104 NTB131046:NTB131104 OCX131046:OCX131104 OMT131046:OMT131104 OWP131046:OWP131104 PGL131046:PGL131104 PQH131046:PQH131104 QAD131046:QAD131104 QJZ131046:QJZ131104 QTV131046:QTV131104 RDR131046:RDR131104 RNN131046:RNN131104 RXJ131046:RXJ131104 SHF131046:SHF131104 SRB131046:SRB131104 TAX131046:TAX131104 TKT131046:TKT131104 TUP131046:TUP131104 UEL131046:UEL131104 UOH131046:UOH131104 UYD131046:UYD131104 VHZ131046:VHZ131104 VRV131046:VRV131104 WBR131046:WBR131104 WLN131046:WLN131104 WVJ131046:WVJ131104 IX196582:IX196640 ST196582:ST196640 ACP196582:ACP196640 AML196582:AML196640 AWH196582:AWH196640 BGD196582:BGD196640 BPZ196582:BPZ196640 BZV196582:BZV196640 CJR196582:CJR196640 CTN196582:CTN196640 DDJ196582:DDJ196640 DNF196582:DNF196640 DXB196582:DXB196640 EGX196582:EGX196640 EQT196582:EQT196640 FAP196582:FAP196640 FKL196582:FKL196640 FUH196582:FUH196640 GED196582:GED196640 GNZ196582:GNZ196640 GXV196582:GXV196640 HHR196582:HHR196640 HRN196582:HRN196640 IBJ196582:IBJ196640 ILF196582:ILF196640 IVB196582:IVB196640 JEX196582:JEX196640 JOT196582:JOT196640 JYP196582:JYP196640 KIL196582:KIL196640 KSH196582:KSH196640 LCD196582:LCD196640 LLZ196582:LLZ196640 LVV196582:LVV196640 MFR196582:MFR196640 MPN196582:MPN196640 MZJ196582:MZJ196640 NJF196582:NJF196640 NTB196582:NTB196640 OCX196582:OCX196640 OMT196582:OMT196640 OWP196582:OWP196640 PGL196582:PGL196640 PQH196582:PQH196640 QAD196582:QAD196640 QJZ196582:QJZ196640 QTV196582:QTV196640 RDR196582:RDR196640 RNN196582:RNN196640 RXJ196582:RXJ196640 SHF196582:SHF196640 SRB196582:SRB196640 TAX196582:TAX196640 TKT196582:TKT196640 TUP196582:TUP196640 UEL196582:UEL196640 UOH196582:UOH196640 UYD196582:UYD196640 VHZ196582:VHZ196640 VRV196582:VRV196640 WBR196582:WBR196640 WLN196582:WLN196640 WVJ196582:WVJ196640 IX262118:IX262176 ST262118:ST262176 ACP262118:ACP262176 AML262118:AML262176 AWH262118:AWH262176 BGD262118:BGD262176 BPZ262118:BPZ262176 BZV262118:BZV262176 CJR262118:CJR262176 CTN262118:CTN262176 DDJ262118:DDJ262176 DNF262118:DNF262176 DXB262118:DXB262176 EGX262118:EGX262176 EQT262118:EQT262176 FAP262118:FAP262176 FKL262118:FKL262176 FUH262118:FUH262176 GED262118:GED262176 GNZ262118:GNZ262176 GXV262118:GXV262176 HHR262118:HHR262176 HRN262118:HRN262176 IBJ262118:IBJ262176 ILF262118:ILF262176 IVB262118:IVB262176 JEX262118:JEX262176 JOT262118:JOT262176 JYP262118:JYP262176 KIL262118:KIL262176 KSH262118:KSH262176 LCD262118:LCD262176 LLZ262118:LLZ262176 LVV262118:LVV262176 MFR262118:MFR262176 MPN262118:MPN262176 MZJ262118:MZJ262176 NJF262118:NJF262176 NTB262118:NTB262176 OCX262118:OCX262176 OMT262118:OMT262176 OWP262118:OWP262176 PGL262118:PGL262176 PQH262118:PQH262176 QAD262118:QAD262176 QJZ262118:QJZ262176 QTV262118:QTV262176 RDR262118:RDR262176 RNN262118:RNN262176 RXJ262118:RXJ262176 SHF262118:SHF262176 SRB262118:SRB262176 TAX262118:TAX262176 TKT262118:TKT262176 TUP262118:TUP262176 UEL262118:UEL262176 UOH262118:UOH262176 UYD262118:UYD262176 VHZ262118:VHZ262176 VRV262118:VRV262176 WBR262118:WBR262176 WLN262118:WLN262176 WVJ262118:WVJ262176 IX327654:IX327712 ST327654:ST327712 ACP327654:ACP327712 AML327654:AML327712 AWH327654:AWH327712 BGD327654:BGD327712 BPZ327654:BPZ327712 BZV327654:BZV327712 CJR327654:CJR327712 CTN327654:CTN327712 DDJ327654:DDJ327712 DNF327654:DNF327712 DXB327654:DXB327712 EGX327654:EGX327712 EQT327654:EQT327712 FAP327654:FAP327712 FKL327654:FKL327712 FUH327654:FUH327712 GED327654:GED327712 GNZ327654:GNZ327712 GXV327654:GXV327712 HHR327654:HHR327712 HRN327654:HRN327712 IBJ327654:IBJ327712 ILF327654:ILF327712 IVB327654:IVB327712 JEX327654:JEX327712 JOT327654:JOT327712 JYP327654:JYP327712 KIL327654:KIL327712 KSH327654:KSH327712 LCD327654:LCD327712 LLZ327654:LLZ327712 LVV327654:LVV327712 MFR327654:MFR327712 MPN327654:MPN327712 MZJ327654:MZJ327712 NJF327654:NJF327712 NTB327654:NTB327712 OCX327654:OCX327712 OMT327654:OMT327712 OWP327654:OWP327712 PGL327654:PGL327712 PQH327654:PQH327712 QAD327654:QAD327712 QJZ327654:QJZ327712 QTV327654:QTV327712 RDR327654:RDR327712 RNN327654:RNN327712 RXJ327654:RXJ327712 SHF327654:SHF327712 SRB327654:SRB327712 TAX327654:TAX327712 TKT327654:TKT327712 TUP327654:TUP327712 UEL327654:UEL327712 UOH327654:UOH327712 UYD327654:UYD327712 VHZ327654:VHZ327712 VRV327654:VRV327712 WBR327654:WBR327712 WLN327654:WLN327712 WVJ327654:WVJ327712 IX393190:IX393248 ST393190:ST393248 ACP393190:ACP393248 AML393190:AML393248 AWH393190:AWH393248 BGD393190:BGD393248 BPZ393190:BPZ393248 BZV393190:BZV393248 CJR393190:CJR393248 CTN393190:CTN393248 DDJ393190:DDJ393248 DNF393190:DNF393248 DXB393190:DXB393248 EGX393190:EGX393248 EQT393190:EQT393248 FAP393190:FAP393248 FKL393190:FKL393248 FUH393190:FUH393248 GED393190:GED393248 GNZ393190:GNZ393248 GXV393190:GXV393248 HHR393190:HHR393248 HRN393190:HRN393248 IBJ393190:IBJ393248 ILF393190:ILF393248 IVB393190:IVB393248 JEX393190:JEX393248 JOT393190:JOT393248 JYP393190:JYP393248 KIL393190:KIL393248 KSH393190:KSH393248 LCD393190:LCD393248 LLZ393190:LLZ393248 LVV393190:LVV393248 MFR393190:MFR393248 MPN393190:MPN393248 MZJ393190:MZJ393248 NJF393190:NJF393248 NTB393190:NTB393248 OCX393190:OCX393248 OMT393190:OMT393248 OWP393190:OWP393248 PGL393190:PGL393248 PQH393190:PQH393248 QAD393190:QAD393248 QJZ393190:QJZ393248 QTV393190:QTV393248 RDR393190:RDR393248 RNN393190:RNN393248 RXJ393190:RXJ393248 SHF393190:SHF393248 SRB393190:SRB393248 TAX393190:TAX393248 TKT393190:TKT393248 TUP393190:TUP393248 UEL393190:UEL393248 UOH393190:UOH393248 UYD393190:UYD393248 VHZ393190:VHZ393248 VRV393190:VRV393248 WBR393190:WBR393248 WLN393190:WLN393248 WVJ393190:WVJ393248 IX458726:IX458784 ST458726:ST458784 ACP458726:ACP458784 AML458726:AML458784 AWH458726:AWH458784 BGD458726:BGD458784 BPZ458726:BPZ458784 BZV458726:BZV458784 CJR458726:CJR458784 CTN458726:CTN458784 DDJ458726:DDJ458784 DNF458726:DNF458784 DXB458726:DXB458784 EGX458726:EGX458784 EQT458726:EQT458784 FAP458726:FAP458784 FKL458726:FKL458784 FUH458726:FUH458784 GED458726:GED458784 GNZ458726:GNZ458784 GXV458726:GXV458784 HHR458726:HHR458784 HRN458726:HRN458784 IBJ458726:IBJ458784 ILF458726:ILF458784 IVB458726:IVB458784 JEX458726:JEX458784 JOT458726:JOT458784 JYP458726:JYP458784 KIL458726:KIL458784 KSH458726:KSH458784 LCD458726:LCD458784 LLZ458726:LLZ458784 LVV458726:LVV458784 MFR458726:MFR458784 MPN458726:MPN458784 MZJ458726:MZJ458784 NJF458726:NJF458784 NTB458726:NTB458784 OCX458726:OCX458784 OMT458726:OMT458784 OWP458726:OWP458784 PGL458726:PGL458784 PQH458726:PQH458784 QAD458726:QAD458784 QJZ458726:QJZ458784 QTV458726:QTV458784 RDR458726:RDR458784 RNN458726:RNN458784 RXJ458726:RXJ458784 SHF458726:SHF458784 SRB458726:SRB458784 TAX458726:TAX458784 TKT458726:TKT458784 TUP458726:TUP458784 UEL458726:UEL458784 UOH458726:UOH458784 UYD458726:UYD458784 VHZ458726:VHZ458784 VRV458726:VRV458784 WBR458726:WBR458784 WLN458726:WLN458784 WVJ458726:WVJ458784 IX524262:IX524320 ST524262:ST524320 ACP524262:ACP524320 AML524262:AML524320 AWH524262:AWH524320 BGD524262:BGD524320 BPZ524262:BPZ524320 BZV524262:BZV524320 CJR524262:CJR524320 CTN524262:CTN524320 DDJ524262:DDJ524320 DNF524262:DNF524320 DXB524262:DXB524320 EGX524262:EGX524320 EQT524262:EQT524320 FAP524262:FAP524320 FKL524262:FKL524320 FUH524262:FUH524320 GED524262:GED524320 GNZ524262:GNZ524320 GXV524262:GXV524320 HHR524262:HHR524320 HRN524262:HRN524320 IBJ524262:IBJ524320 ILF524262:ILF524320 IVB524262:IVB524320 JEX524262:JEX524320 JOT524262:JOT524320 JYP524262:JYP524320 KIL524262:KIL524320 KSH524262:KSH524320 LCD524262:LCD524320 LLZ524262:LLZ524320 LVV524262:LVV524320 MFR524262:MFR524320 MPN524262:MPN524320 MZJ524262:MZJ524320 NJF524262:NJF524320 NTB524262:NTB524320 OCX524262:OCX524320 OMT524262:OMT524320 OWP524262:OWP524320 PGL524262:PGL524320 PQH524262:PQH524320 QAD524262:QAD524320 QJZ524262:QJZ524320 QTV524262:QTV524320 RDR524262:RDR524320 RNN524262:RNN524320 RXJ524262:RXJ524320 SHF524262:SHF524320 SRB524262:SRB524320 TAX524262:TAX524320 TKT524262:TKT524320 TUP524262:TUP524320 UEL524262:UEL524320 UOH524262:UOH524320 UYD524262:UYD524320 VHZ524262:VHZ524320 VRV524262:VRV524320 WBR524262:WBR524320 WLN524262:WLN524320 WVJ524262:WVJ524320 IX589798:IX589856 ST589798:ST589856 ACP589798:ACP589856 AML589798:AML589856 AWH589798:AWH589856 BGD589798:BGD589856 BPZ589798:BPZ589856 BZV589798:BZV589856 CJR589798:CJR589856 CTN589798:CTN589856 DDJ589798:DDJ589856 DNF589798:DNF589856 DXB589798:DXB589856 EGX589798:EGX589856 EQT589798:EQT589856 FAP589798:FAP589856 FKL589798:FKL589856 FUH589798:FUH589856 GED589798:GED589856 GNZ589798:GNZ589856 GXV589798:GXV589856 HHR589798:HHR589856 HRN589798:HRN589856 IBJ589798:IBJ589856 ILF589798:ILF589856 IVB589798:IVB589856 JEX589798:JEX589856 JOT589798:JOT589856 JYP589798:JYP589856 KIL589798:KIL589856 KSH589798:KSH589856 LCD589798:LCD589856 LLZ589798:LLZ589856 LVV589798:LVV589856 MFR589798:MFR589856 MPN589798:MPN589856 MZJ589798:MZJ589856 NJF589798:NJF589856 NTB589798:NTB589856 OCX589798:OCX589856 OMT589798:OMT589856 OWP589798:OWP589856 PGL589798:PGL589856 PQH589798:PQH589856 QAD589798:QAD589856 QJZ589798:QJZ589856 QTV589798:QTV589856 RDR589798:RDR589856 RNN589798:RNN589856 RXJ589798:RXJ589856 SHF589798:SHF589856 SRB589798:SRB589856 TAX589798:TAX589856 TKT589798:TKT589856 TUP589798:TUP589856 UEL589798:UEL589856 UOH589798:UOH589856 UYD589798:UYD589856 VHZ589798:VHZ589856 VRV589798:VRV589856 WBR589798:WBR589856 WLN589798:WLN589856 WVJ589798:WVJ589856 IX655334:IX655392 ST655334:ST655392 ACP655334:ACP655392 AML655334:AML655392 AWH655334:AWH655392 BGD655334:BGD655392 BPZ655334:BPZ655392 BZV655334:BZV655392 CJR655334:CJR655392 CTN655334:CTN655392 DDJ655334:DDJ655392 DNF655334:DNF655392 DXB655334:DXB655392 EGX655334:EGX655392 EQT655334:EQT655392 FAP655334:FAP655392 FKL655334:FKL655392 FUH655334:FUH655392 GED655334:GED655392 GNZ655334:GNZ655392 GXV655334:GXV655392 HHR655334:HHR655392 HRN655334:HRN655392 IBJ655334:IBJ655392 ILF655334:ILF655392 IVB655334:IVB655392 JEX655334:JEX655392 JOT655334:JOT655392 JYP655334:JYP655392 KIL655334:KIL655392 KSH655334:KSH655392 LCD655334:LCD655392 LLZ655334:LLZ655392 LVV655334:LVV655392 MFR655334:MFR655392 MPN655334:MPN655392 MZJ655334:MZJ655392 NJF655334:NJF655392 NTB655334:NTB655392 OCX655334:OCX655392 OMT655334:OMT655392 OWP655334:OWP655392 PGL655334:PGL655392 PQH655334:PQH655392 QAD655334:QAD655392 QJZ655334:QJZ655392 QTV655334:QTV655392 RDR655334:RDR655392 RNN655334:RNN655392 RXJ655334:RXJ655392 SHF655334:SHF655392 SRB655334:SRB655392 TAX655334:TAX655392 TKT655334:TKT655392 TUP655334:TUP655392 UEL655334:UEL655392 UOH655334:UOH655392 UYD655334:UYD655392 VHZ655334:VHZ655392 VRV655334:VRV655392 WBR655334:WBR655392 WLN655334:WLN655392 WVJ655334:WVJ655392 IX720870:IX720928 ST720870:ST720928 ACP720870:ACP720928 AML720870:AML720928 AWH720870:AWH720928 BGD720870:BGD720928 BPZ720870:BPZ720928 BZV720870:BZV720928 CJR720870:CJR720928 CTN720870:CTN720928 DDJ720870:DDJ720928 DNF720870:DNF720928 DXB720870:DXB720928 EGX720870:EGX720928 EQT720870:EQT720928 FAP720870:FAP720928 FKL720870:FKL720928 FUH720870:FUH720928 GED720870:GED720928 GNZ720870:GNZ720928 GXV720870:GXV720928 HHR720870:HHR720928 HRN720870:HRN720928 IBJ720870:IBJ720928 ILF720870:ILF720928 IVB720870:IVB720928 JEX720870:JEX720928 JOT720870:JOT720928 JYP720870:JYP720928 KIL720870:KIL720928 KSH720870:KSH720928 LCD720870:LCD720928 LLZ720870:LLZ720928 LVV720870:LVV720928 MFR720870:MFR720928 MPN720870:MPN720928 MZJ720870:MZJ720928 NJF720870:NJF720928 NTB720870:NTB720928 OCX720870:OCX720928 OMT720870:OMT720928 OWP720870:OWP720928 PGL720870:PGL720928 PQH720870:PQH720928 QAD720870:QAD720928 QJZ720870:QJZ720928 QTV720870:QTV720928 RDR720870:RDR720928 RNN720870:RNN720928 RXJ720870:RXJ720928 SHF720870:SHF720928 SRB720870:SRB720928 TAX720870:TAX720928 TKT720870:TKT720928 TUP720870:TUP720928 UEL720870:UEL720928 UOH720870:UOH720928 UYD720870:UYD720928 VHZ720870:VHZ720928 VRV720870:VRV720928 WBR720870:WBR720928 WLN720870:WLN720928 WVJ720870:WVJ720928 IX786406:IX786464 ST786406:ST786464 ACP786406:ACP786464 AML786406:AML786464 AWH786406:AWH786464 BGD786406:BGD786464 BPZ786406:BPZ786464 BZV786406:BZV786464 CJR786406:CJR786464 CTN786406:CTN786464 DDJ786406:DDJ786464 DNF786406:DNF786464 DXB786406:DXB786464 EGX786406:EGX786464 EQT786406:EQT786464 FAP786406:FAP786464 FKL786406:FKL786464 FUH786406:FUH786464 GED786406:GED786464 GNZ786406:GNZ786464 GXV786406:GXV786464 HHR786406:HHR786464 HRN786406:HRN786464 IBJ786406:IBJ786464 ILF786406:ILF786464 IVB786406:IVB786464 JEX786406:JEX786464 JOT786406:JOT786464 JYP786406:JYP786464 KIL786406:KIL786464 KSH786406:KSH786464 LCD786406:LCD786464 LLZ786406:LLZ786464 LVV786406:LVV786464 MFR786406:MFR786464 MPN786406:MPN786464 MZJ786406:MZJ786464 NJF786406:NJF786464 NTB786406:NTB786464 OCX786406:OCX786464 OMT786406:OMT786464 OWP786406:OWP786464 PGL786406:PGL786464 PQH786406:PQH786464 QAD786406:QAD786464 QJZ786406:QJZ786464 QTV786406:QTV786464 RDR786406:RDR786464 RNN786406:RNN786464 RXJ786406:RXJ786464 SHF786406:SHF786464 SRB786406:SRB786464 TAX786406:TAX786464 TKT786406:TKT786464 TUP786406:TUP786464 UEL786406:UEL786464 UOH786406:UOH786464 UYD786406:UYD786464 VHZ786406:VHZ786464 VRV786406:VRV786464 WBR786406:WBR786464 WLN786406:WLN786464 WVJ786406:WVJ786464 IX851942:IX852000 ST851942:ST852000 ACP851942:ACP852000 AML851942:AML852000 AWH851942:AWH852000 BGD851942:BGD852000 BPZ851942:BPZ852000 BZV851942:BZV852000 CJR851942:CJR852000 CTN851942:CTN852000 DDJ851942:DDJ852000 DNF851942:DNF852000 DXB851942:DXB852000 EGX851942:EGX852000 EQT851942:EQT852000 FAP851942:FAP852000 FKL851942:FKL852000 FUH851942:FUH852000 GED851942:GED852000 GNZ851942:GNZ852000 GXV851942:GXV852000 HHR851942:HHR852000 HRN851942:HRN852000 IBJ851942:IBJ852000 ILF851942:ILF852000 IVB851942:IVB852000 JEX851942:JEX852000 JOT851942:JOT852000 JYP851942:JYP852000 KIL851942:KIL852000 KSH851942:KSH852000 LCD851942:LCD852000 LLZ851942:LLZ852000 LVV851942:LVV852000 MFR851942:MFR852000 MPN851942:MPN852000 MZJ851942:MZJ852000 NJF851942:NJF852000 NTB851942:NTB852000 OCX851942:OCX852000 OMT851942:OMT852000 OWP851942:OWP852000 PGL851942:PGL852000 PQH851942:PQH852000 QAD851942:QAD852000 QJZ851942:QJZ852000 QTV851942:QTV852000 RDR851942:RDR852000 RNN851942:RNN852000 RXJ851942:RXJ852000 SHF851942:SHF852000 SRB851942:SRB852000 TAX851942:TAX852000 TKT851942:TKT852000 TUP851942:TUP852000 UEL851942:UEL852000 UOH851942:UOH852000 UYD851942:UYD852000 VHZ851942:VHZ852000 VRV851942:VRV852000 WBR851942:WBR852000 WLN851942:WLN852000 WVJ851942:WVJ852000 IX917478:IX917536 ST917478:ST917536 ACP917478:ACP917536 AML917478:AML917536 AWH917478:AWH917536 BGD917478:BGD917536 BPZ917478:BPZ917536 BZV917478:BZV917536 CJR917478:CJR917536 CTN917478:CTN917536 DDJ917478:DDJ917536 DNF917478:DNF917536 DXB917478:DXB917536 EGX917478:EGX917536 EQT917478:EQT917536 FAP917478:FAP917536 FKL917478:FKL917536 FUH917478:FUH917536 GED917478:GED917536 GNZ917478:GNZ917536 GXV917478:GXV917536 HHR917478:HHR917536 HRN917478:HRN917536 IBJ917478:IBJ917536 ILF917478:ILF917536 IVB917478:IVB917536 JEX917478:JEX917536 JOT917478:JOT917536 JYP917478:JYP917536 KIL917478:KIL917536 KSH917478:KSH917536 LCD917478:LCD917536 LLZ917478:LLZ917536 LVV917478:LVV917536 MFR917478:MFR917536 MPN917478:MPN917536 MZJ917478:MZJ917536 NJF917478:NJF917536 NTB917478:NTB917536 OCX917478:OCX917536 OMT917478:OMT917536 OWP917478:OWP917536 PGL917478:PGL917536 PQH917478:PQH917536 QAD917478:QAD917536 QJZ917478:QJZ917536 QTV917478:QTV917536 RDR917478:RDR917536 RNN917478:RNN917536 RXJ917478:RXJ917536 SHF917478:SHF917536 SRB917478:SRB917536 TAX917478:TAX917536 TKT917478:TKT917536 TUP917478:TUP917536 UEL917478:UEL917536 UOH917478:UOH917536 UYD917478:UYD917536 VHZ917478:VHZ917536 VRV917478:VRV917536 WBR917478:WBR917536 WLN917478:WLN917536 WVJ917478:WVJ917536 IX983014:IX983072 ST983014:ST983072 ACP983014:ACP983072 AML983014:AML983072 AWH983014:AWH983072 BGD983014:BGD983072 BPZ983014:BPZ983072 BZV983014:BZV983072 CJR983014:CJR983072 CTN983014:CTN983072 DDJ983014:DDJ983072 DNF983014:DNF983072 DXB983014:DXB983072 EGX983014:EGX983072 EQT983014:EQT983072 FAP983014:FAP983072 FKL983014:FKL983072 FUH983014:FUH983072 GED983014:GED983072 GNZ983014:GNZ983072 GXV983014:GXV983072 HHR983014:HHR983072 HRN983014:HRN983072 IBJ983014:IBJ983072 ILF983014:ILF983072 IVB983014:IVB983072 JEX983014:JEX983072 JOT983014:JOT983072 JYP983014:JYP983072 KIL983014:KIL983072 KSH983014:KSH983072 LCD983014:LCD983072 LLZ983014:LLZ983072 LVV983014:LVV983072 MFR983014:MFR983072 MPN983014:MPN983072 MZJ983014:MZJ983072 NJF983014:NJF983072 NTB983014:NTB983072 OCX983014:OCX983072 OMT983014:OMT983072 OWP983014:OWP983072 PGL983014:PGL983072 PQH983014:PQH983072 QAD983014:QAD983072 QJZ983014:QJZ983072 QTV983014:QTV983072 RDR983014:RDR983072 RNN983014:RNN983072 RXJ983014:RXJ983072 SHF983014:SHF983072 SRB983014:SRB983072 TAX983014:TAX983072 TKT983014:TKT983072 TUP983014:TUP983072 UEL983014:UEL983072 UOH983014:UOH983072 UYD983014:UYD983072 VHZ983014:VHZ983072 VRV983014:VRV983072 WBR983014:WBR983072 WLN983014:WLN983072 WVJ983014:WVJ983072 IW65510:IW65530 SS65510:SS65530 ACO65510:ACO65530 AMK65510:AMK65530 AWG65510:AWG65530 BGC65510:BGC65530 BPY65510:BPY65530 BZU65510:BZU65530 CJQ65510:CJQ65530 CTM65510:CTM65530 DDI65510:DDI65530 DNE65510:DNE65530 DXA65510:DXA65530 EGW65510:EGW65530 EQS65510:EQS65530 FAO65510:FAO65530 FKK65510:FKK65530 FUG65510:FUG65530 GEC65510:GEC65530 GNY65510:GNY65530 GXU65510:GXU65530 HHQ65510:HHQ65530 HRM65510:HRM65530 IBI65510:IBI65530 ILE65510:ILE65530 IVA65510:IVA65530 JEW65510:JEW65530 JOS65510:JOS65530 JYO65510:JYO65530 KIK65510:KIK65530 KSG65510:KSG65530 LCC65510:LCC65530 LLY65510:LLY65530 LVU65510:LVU65530 MFQ65510:MFQ65530 MPM65510:MPM65530 MZI65510:MZI65530 NJE65510:NJE65530 NTA65510:NTA65530 OCW65510:OCW65530 OMS65510:OMS65530 OWO65510:OWO65530 PGK65510:PGK65530 PQG65510:PQG65530 QAC65510:QAC65530 QJY65510:QJY65530 QTU65510:QTU65530 RDQ65510:RDQ65530 RNM65510:RNM65530 RXI65510:RXI65530 SHE65510:SHE65530 SRA65510:SRA65530 TAW65510:TAW65530 TKS65510:TKS65530 TUO65510:TUO65530 UEK65510:UEK65530 UOG65510:UOG65530 UYC65510:UYC65530 VHY65510:VHY65530 VRU65510:VRU65530 WBQ65510:WBQ65530 WLM65510:WLM65530 WVI65510:WVI65530 IW131046:IW131066 SS131046:SS131066 ACO131046:ACO131066 AMK131046:AMK131066 AWG131046:AWG131066 BGC131046:BGC131066 BPY131046:BPY131066 BZU131046:BZU131066 CJQ131046:CJQ131066 CTM131046:CTM131066 DDI131046:DDI131066 DNE131046:DNE131066 DXA131046:DXA131066 EGW131046:EGW131066 EQS131046:EQS131066 FAO131046:FAO131066 FKK131046:FKK131066 FUG131046:FUG131066 GEC131046:GEC131066 GNY131046:GNY131066 GXU131046:GXU131066 HHQ131046:HHQ131066 HRM131046:HRM131066 IBI131046:IBI131066 ILE131046:ILE131066 IVA131046:IVA131066 JEW131046:JEW131066 JOS131046:JOS131066 JYO131046:JYO131066 KIK131046:KIK131066 KSG131046:KSG131066 LCC131046:LCC131066 LLY131046:LLY131066 LVU131046:LVU131066 MFQ131046:MFQ131066 MPM131046:MPM131066 MZI131046:MZI131066 NJE131046:NJE131066 NTA131046:NTA131066 OCW131046:OCW131066 OMS131046:OMS131066 OWO131046:OWO131066 PGK131046:PGK131066 PQG131046:PQG131066 QAC131046:QAC131066 QJY131046:QJY131066 QTU131046:QTU131066 RDQ131046:RDQ131066 RNM131046:RNM131066 RXI131046:RXI131066 SHE131046:SHE131066 SRA131046:SRA131066 TAW131046:TAW131066 TKS131046:TKS131066 TUO131046:TUO131066 UEK131046:UEK131066 UOG131046:UOG131066 UYC131046:UYC131066 VHY131046:VHY131066 VRU131046:VRU131066 WBQ131046:WBQ131066 WLM131046:WLM131066 WVI131046:WVI131066 IW196582:IW196602 SS196582:SS196602 ACO196582:ACO196602 AMK196582:AMK196602 AWG196582:AWG196602 BGC196582:BGC196602 BPY196582:BPY196602 BZU196582:BZU196602 CJQ196582:CJQ196602 CTM196582:CTM196602 DDI196582:DDI196602 DNE196582:DNE196602 DXA196582:DXA196602 EGW196582:EGW196602 EQS196582:EQS196602 FAO196582:FAO196602 FKK196582:FKK196602 FUG196582:FUG196602 GEC196582:GEC196602 GNY196582:GNY196602 GXU196582:GXU196602 HHQ196582:HHQ196602 HRM196582:HRM196602 IBI196582:IBI196602 ILE196582:ILE196602 IVA196582:IVA196602 JEW196582:JEW196602 JOS196582:JOS196602 JYO196582:JYO196602 KIK196582:KIK196602 KSG196582:KSG196602 LCC196582:LCC196602 LLY196582:LLY196602 LVU196582:LVU196602 MFQ196582:MFQ196602 MPM196582:MPM196602 MZI196582:MZI196602 NJE196582:NJE196602 NTA196582:NTA196602 OCW196582:OCW196602 OMS196582:OMS196602 OWO196582:OWO196602 PGK196582:PGK196602 PQG196582:PQG196602 QAC196582:QAC196602 QJY196582:QJY196602 QTU196582:QTU196602 RDQ196582:RDQ196602 RNM196582:RNM196602 RXI196582:RXI196602 SHE196582:SHE196602 SRA196582:SRA196602 TAW196582:TAW196602 TKS196582:TKS196602 TUO196582:TUO196602 UEK196582:UEK196602 UOG196582:UOG196602 UYC196582:UYC196602 VHY196582:VHY196602 VRU196582:VRU196602 WBQ196582:WBQ196602 WLM196582:WLM196602 WVI196582:WVI196602 IW262118:IW262138 SS262118:SS262138 ACO262118:ACO262138 AMK262118:AMK262138 AWG262118:AWG262138 BGC262118:BGC262138 BPY262118:BPY262138 BZU262118:BZU262138 CJQ262118:CJQ262138 CTM262118:CTM262138 DDI262118:DDI262138 DNE262118:DNE262138 DXA262118:DXA262138 EGW262118:EGW262138 EQS262118:EQS262138 FAO262118:FAO262138 FKK262118:FKK262138 FUG262118:FUG262138 GEC262118:GEC262138 GNY262118:GNY262138 GXU262118:GXU262138 HHQ262118:HHQ262138 HRM262118:HRM262138 IBI262118:IBI262138 ILE262118:ILE262138 IVA262118:IVA262138 JEW262118:JEW262138 JOS262118:JOS262138 JYO262118:JYO262138 KIK262118:KIK262138 KSG262118:KSG262138 LCC262118:LCC262138 LLY262118:LLY262138 LVU262118:LVU262138 MFQ262118:MFQ262138 MPM262118:MPM262138 MZI262118:MZI262138 NJE262118:NJE262138 NTA262118:NTA262138 OCW262118:OCW262138 OMS262118:OMS262138 OWO262118:OWO262138 PGK262118:PGK262138 PQG262118:PQG262138 QAC262118:QAC262138 QJY262118:QJY262138 QTU262118:QTU262138 RDQ262118:RDQ262138 RNM262118:RNM262138 RXI262118:RXI262138 SHE262118:SHE262138 SRA262118:SRA262138 TAW262118:TAW262138 TKS262118:TKS262138 TUO262118:TUO262138 UEK262118:UEK262138 UOG262118:UOG262138 UYC262118:UYC262138 VHY262118:VHY262138 VRU262118:VRU262138 WBQ262118:WBQ262138 WLM262118:WLM262138 WVI262118:WVI262138 IW327654:IW327674 SS327654:SS327674 ACO327654:ACO327674 AMK327654:AMK327674 AWG327654:AWG327674 BGC327654:BGC327674 BPY327654:BPY327674 BZU327654:BZU327674 CJQ327654:CJQ327674 CTM327654:CTM327674 DDI327654:DDI327674 DNE327654:DNE327674 DXA327654:DXA327674 EGW327654:EGW327674 EQS327654:EQS327674 FAO327654:FAO327674 FKK327654:FKK327674 FUG327654:FUG327674 GEC327654:GEC327674 GNY327654:GNY327674 GXU327654:GXU327674 HHQ327654:HHQ327674 HRM327654:HRM327674 IBI327654:IBI327674 ILE327654:ILE327674 IVA327654:IVA327674 JEW327654:JEW327674 JOS327654:JOS327674 JYO327654:JYO327674 KIK327654:KIK327674 KSG327654:KSG327674 LCC327654:LCC327674 LLY327654:LLY327674 LVU327654:LVU327674 MFQ327654:MFQ327674 MPM327654:MPM327674 MZI327654:MZI327674 NJE327654:NJE327674 NTA327654:NTA327674 OCW327654:OCW327674 OMS327654:OMS327674 OWO327654:OWO327674 PGK327654:PGK327674 PQG327654:PQG327674 QAC327654:QAC327674 QJY327654:QJY327674 QTU327654:QTU327674 RDQ327654:RDQ327674 RNM327654:RNM327674 RXI327654:RXI327674 SHE327654:SHE327674 SRA327654:SRA327674 TAW327654:TAW327674 TKS327654:TKS327674 TUO327654:TUO327674 UEK327654:UEK327674 UOG327654:UOG327674 UYC327654:UYC327674 VHY327654:VHY327674 VRU327654:VRU327674 WBQ327654:WBQ327674 WLM327654:WLM327674 WVI327654:WVI327674 IW393190:IW393210 SS393190:SS393210 ACO393190:ACO393210 AMK393190:AMK393210 AWG393190:AWG393210 BGC393190:BGC393210 BPY393190:BPY393210 BZU393190:BZU393210 CJQ393190:CJQ393210 CTM393190:CTM393210 DDI393190:DDI393210 DNE393190:DNE393210 DXA393190:DXA393210 EGW393190:EGW393210 EQS393190:EQS393210 FAO393190:FAO393210 FKK393190:FKK393210 FUG393190:FUG393210 GEC393190:GEC393210 GNY393190:GNY393210 GXU393190:GXU393210 HHQ393190:HHQ393210 HRM393190:HRM393210 IBI393190:IBI393210 ILE393190:ILE393210 IVA393190:IVA393210 JEW393190:JEW393210 JOS393190:JOS393210 JYO393190:JYO393210 KIK393190:KIK393210 KSG393190:KSG393210 LCC393190:LCC393210 LLY393190:LLY393210 LVU393190:LVU393210 MFQ393190:MFQ393210 MPM393190:MPM393210 MZI393190:MZI393210 NJE393190:NJE393210 NTA393190:NTA393210 OCW393190:OCW393210 OMS393190:OMS393210 OWO393190:OWO393210 PGK393190:PGK393210 PQG393190:PQG393210 QAC393190:QAC393210 QJY393190:QJY393210 QTU393190:QTU393210 RDQ393190:RDQ393210 RNM393190:RNM393210 RXI393190:RXI393210 SHE393190:SHE393210 SRA393190:SRA393210 TAW393190:TAW393210 TKS393190:TKS393210 TUO393190:TUO393210 UEK393190:UEK393210 UOG393190:UOG393210 UYC393190:UYC393210 VHY393190:VHY393210 VRU393190:VRU393210 WBQ393190:WBQ393210 WLM393190:WLM393210 WVI393190:WVI393210 IW458726:IW458746 SS458726:SS458746 ACO458726:ACO458746 AMK458726:AMK458746 AWG458726:AWG458746 BGC458726:BGC458746 BPY458726:BPY458746 BZU458726:BZU458746 CJQ458726:CJQ458746 CTM458726:CTM458746 DDI458726:DDI458746 DNE458726:DNE458746 DXA458726:DXA458746 EGW458726:EGW458746 EQS458726:EQS458746 FAO458726:FAO458746 FKK458726:FKK458746 FUG458726:FUG458746 GEC458726:GEC458746 GNY458726:GNY458746 GXU458726:GXU458746 HHQ458726:HHQ458746 HRM458726:HRM458746 IBI458726:IBI458746 ILE458726:ILE458746 IVA458726:IVA458746 JEW458726:JEW458746 JOS458726:JOS458746 JYO458726:JYO458746 KIK458726:KIK458746 KSG458726:KSG458746 LCC458726:LCC458746 LLY458726:LLY458746 LVU458726:LVU458746 MFQ458726:MFQ458746 MPM458726:MPM458746 MZI458726:MZI458746 NJE458726:NJE458746 NTA458726:NTA458746 OCW458726:OCW458746 OMS458726:OMS458746 OWO458726:OWO458746 PGK458726:PGK458746 PQG458726:PQG458746 QAC458726:QAC458746 QJY458726:QJY458746 QTU458726:QTU458746 RDQ458726:RDQ458746 RNM458726:RNM458746 RXI458726:RXI458746 SHE458726:SHE458746 SRA458726:SRA458746 TAW458726:TAW458746 TKS458726:TKS458746 TUO458726:TUO458746 UEK458726:UEK458746 UOG458726:UOG458746 UYC458726:UYC458746 VHY458726:VHY458746 VRU458726:VRU458746 WBQ458726:WBQ458746 WLM458726:WLM458746 WVI458726:WVI458746 IW524262:IW524282 SS524262:SS524282 ACO524262:ACO524282 AMK524262:AMK524282 AWG524262:AWG524282 BGC524262:BGC524282 BPY524262:BPY524282 BZU524262:BZU524282 CJQ524262:CJQ524282 CTM524262:CTM524282 DDI524262:DDI524282 DNE524262:DNE524282 DXA524262:DXA524282 EGW524262:EGW524282 EQS524262:EQS524282 FAO524262:FAO524282 FKK524262:FKK524282 FUG524262:FUG524282 GEC524262:GEC524282 GNY524262:GNY524282 GXU524262:GXU524282 HHQ524262:HHQ524282 HRM524262:HRM524282 IBI524262:IBI524282 ILE524262:ILE524282 IVA524262:IVA524282 JEW524262:JEW524282 JOS524262:JOS524282 JYO524262:JYO524282 KIK524262:KIK524282 KSG524262:KSG524282 LCC524262:LCC524282 LLY524262:LLY524282 LVU524262:LVU524282 MFQ524262:MFQ524282 MPM524262:MPM524282 MZI524262:MZI524282 NJE524262:NJE524282 NTA524262:NTA524282 OCW524262:OCW524282 OMS524262:OMS524282 OWO524262:OWO524282 PGK524262:PGK524282 PQG524262:PQG524282 QAC524262:QAC524282 QJY524262:QJY524282 QTU524262:QTU524282 RDQ524262:RDQ524282 RNM524262:RNM524282 RXI524262:RXI524282 SHE524262:SHE524282 SRA524262:SRA524282 TAW524262:TAW524282 TKS524262:TKS524282 TUO524262:TUO524282 UEK524262:UEK524282 UOG524262:UOG524282 UYC524262:UYC524282 VHY524262:VHY524282 VRU524262:VRU524282 WBQ524262:WBQ524282 WLM524262:WLM524282 WVI524262:WVI524282 IW589798:IW589818 SS589798:SS589818 ACO589798:ACO589818 AMK589798:AMK589818 AWG589798:AWG589818 BGC589798:BGC589818 BPY589798:BPY589818 BZU589798:BZU589818 CJQ589798:CJQ589818 CTM589798:CTM589818 DDI589798:DDI589818 DNE589798:DNE589818 DXA589798:DXA589818 EGW589798:EGW589818 EQS589798:EQS589818 FAO589798:FAO589818 FKK589798:FKK589818 FUG589798:FUG589818 GEC589798:GEC589818 GNY589798:GNY589818 GXU589798:GXU589818 HHQ589798:HHQ589818 HRM589798:HRM589818 IBI589798:IBI589818 ILE589798:ILE589818 IVA589798:IVA589818 JEW589798:JEW589818 JOS589798:JOS589818 JYO589798:JYO589818 KIK589798:KIK589818 KSG589798:KSG589818 LCC589798:LCC589818 LLY589798:LLY589818 LVU589798:LVU589818 MFQ589798:MFQ589818 MPM589798:MPM589818 MZI589798:MZI589818 NJE589798:NJE589818 NTA589798:NTA589818 OCW589798:OCW589818 OMS589798:OMS589818 OWO589798:OWO589818 PGK589798:PGK589818 PQG589798:PQG589818 QAC589798:QAC589818 QJY589798:QJY589818 QTU589798:QTU589818 RDQ589798:RDQ589818 RNM589798:RNM589818 RXI589798:RXI589818 SHE589798:SHE589818 SRA589798:SRA589818 TAW589798:TAW589818 TKS589798:TKS589818 TUO589798:TUO589818 UEK589798:UEK589818 UOG589798:UOG589818 UYC589798:UYC589818 VHY589798:VHY589818 VRU589798:VRU589818 WBQ589798:WBQ589818 WLM589798:WLM589818 WVI589798:WVI589818 IW655334:IW655354 SS655334:SS655354 ACO655334:ACO655354 AMK655334:AMK655354 AWG655334:AWG655354 BGC655334:BGC655354 BPY655334:BPY655354 BZU655334:BZU655354 CJQ655334:CJQ655354 CTM655334:CTM655354 DDI655334:DDI655354 DNE655334:DNE655354 DXA655334:DXA655354 EGW655334:EGW655354 EQS655334:EQS655354 FAO655334:FAO655354 FKK655334:FKK655354 FUG655334:FUG655354 GEC655334:GEC655354 GNY655334:GNY655354 GXU655334:GXU655354 HHQ655334:HHQ655354 HRM655334:HRM655354 IBI655334:IBI655354 ILE655334:ILE655354 IVA655334:IVA655354 JEW655334:JEW655354 JOS655334:JOS655354 JYO655334:JYO655354 KIK655334:KIK655354 KSG655334:KSG655354 LCC655334:LCC655354 LLY655334:LLY655354 LVU655334:LVU655354 MFQ655334:MFQ655354 MPM655334:MPM655354 MZI655334:MZI655354 NJE655334:NJE655354 NTA655334:NTA655354 OCW655334:OCW655354 OMS655334:OMS655354 OWO655334:OWO655354 PGK655334:PGK655354 PQG655334:PQG655354 QAC655334:QAC655354 QJY655334:QJY655354 QTU655334:QTU655354 RDQ655334:RDQ655354 RNM655334:RNM655354 RXI655334:RXI655354 SHE655334:SHE655354 SRA655334:SRA655354 TAW655334:TAW655354 TKS655334:TKS655354 TUO655334:TUO655354 UEK655334:UEK655354 UOG655334:UOG655354 UYC655334:UYC655354 VHY655334:VHY655354 VRU655334:VRU655354 WBQ655334:WBQ655354 WLM655334:WLM655354 WVI655334:WVI655354 IW720870:IW720890 SS720870:SS720890 ACO720870:ACO720890 AMK720870:AMK720890 AWG720870:AWG720890 BGC720870:BGC720890 BPY720870:BPY720890 BZU720870:BZU720890 CJQ720870:CJQ720890 CTM720870:CTM720890 DDI720870:DDI720890 DNE720870:DNE720890 DXA720870:DXA720890 EGW720870:EGW720890 EQS720870:EQS720890 FAO720870:FAO720890 FKK720870:FKK720890 FUG720870:FUG720890 GEC720870:GEC720890 GNY720870:GNY720890 GXU720870:GXU720890 HHQ720870:HHQ720890 HRM720870:HRM720890 IBI720870:IBI720890 ILE720870:ILE720890 IVA720870:IVA720890 JEW720870:JEW720890 JOS720870:JOS720890 JYO720870:JYO720890 KIK720870:KIK720890 KSG720870:KSG720890 LCC720870:LCC720890 LLY720870:LLY720890 LVU720870:LVU720890 MFQ720870:MFQ720890 MPM720870:MPM720890 MZI720870:MZI720890 NJE720870:NJE720890 NTA720870:NTA720890 OCW720870:OCW720890 OMS720870:OMS720890 OWO720870:OWO720890 PGK720870:PGK720890 PQG720870:PQG720890 QAC720870:QAC720890 QJY720870:QJY720890 QTU720870:QTU720890 RDQ720870:RDQ720890 RNM720870:RNM720890 RXI720870:RXI720890 SHE720870:SHE720890 SRA720870:SRA720890 TAW720870:TAW720890 TKS720870:TKS720890 TUO720870:TUO720890 UEK720870:UEK720890 UOG720870:UOG720890 UYC720870:UYC720890 VHY720870:VHY720890 VRU720870:VRU720890 WBQ720870:WBQ720890 WLM720870:WLM720890 WVI720870:WVI720890 IW786406:IW786426 SS786406:SS786426 ACO786406:ACO786426 AMK786406:AMK786426 AWG786406:AWG786426 BGC786406:BGC786426 BPY786406:BPY786426 BZU786406:BZU786426 CJQ786406:CJQ786426 CTM786406:CTM786426 DDI786406:DDI786426 DNE786406:DNE786426 DXA786406:DXA786426 EGW786406:EGW786426 EQS786406:EQS786426 FAO786406:FAO786426 FKK786406:FKK786426 FUG786406:FUG786426 GEC786406:GEC786426 GNY786406:GNY786426 GXU786406:GXU786426 HHQ786406:HHQ786426 HRM786406:HRM786426 IBI786406:IBI786426 ILE786406:ILE786426 IVA786406:IVA786426 JEW786406:JEW786426 JOS786406:JOS786426 JYO786406:JYO786426 KIK786406:KIK786426 KSG786406:KSG786426 LCC786406:LCC786426 LLY786406:LLY786426 LVU786406:LVU786426 MFQ786406:MFQ786426 MPM786406:MPM786426 MZI786406:MZI786426 NJE786406:NJE786426 NTA786406:NTA786426 OCW786406:OCW786426 OMS786406:OMS786426 OWO786406:OWO786426 PGK786406:PGK786426 PQG786406:PQG786426 QAC786406:QAC786426 QJY786406:QJY786426 QTU786406:QTU786426 RDQ786406:RDQ786426 RNM786406:RNM786426 RXI786406:RXI786426 SHE786406:SHE786426 SRA786406:SRA786426 TAW786406:TAW786426 TKS786406:TKS786426 TUO786406:TUO786426 UEK786406:UEK786426 UOG786406:UOG786426 UYC786406:UYC786426 VHY786406:VHY786426 VRU786406:VRU786426 WBQ786406:WBQ786426 WLM786406:WLM786426 WVI786406:WVI786426 IW851942:IW851962 SS851942:SS851962 ACO851942:ACO851962 AMK851942:AMK851962 AWG851942:AWG851962 BGC851942:BGC851962 BPY851942:BPY851962 BZU851942:BZU851962 CJQ851942:CJQ851962 CTM851942:CTM851962 DDI851942:DDI851962 DNE851942:DNE851962 DXA851942:DXA851962 EGW851942:EGW851962 EQS851942:EQS851962 FAO851942:FAO851962 FKK851942:FKK851962 FUG851942:FUG851962 GEC851942:GEC851962 GNY851942:GNY851962 GXU851942:GXU851962 HHQ851942:HHQ851962 HRM851942:HRM851962 IBI851942:IBI851962 ILE851942:ILE851962 IVA851942:IVA851962 JEW851942:JEW851962 JOS851942:JOS851962 JYO851942:JYO851962 KIK851942:KIK851962 KSG851942:KSG851962 LCC851942:LCC851962 LLY851942:LLY851962 LVU851942:LVU851962 MFQ851942:MFQ851962 MPM851942:MPM851962 MZI851942:MZI851962 NJE851942:NJE851962 NTA851942:NTA851962 OCW851942:OCW851962 OMS851942:OMS851962 OWO851942:OWO851962 PGK851942:PGK851962 PQG851942:PQG851962 QAC851942:QAC851962 QJY851942:QJY851962 QTU851942:QTU851962 RDQ851942:RDQ851962 RNM851942:RNM851962 RXI851942:RXI851962 SHE851942:SHE851962 SRA851942:SRA851962 TAW851942:TAW851962 TKS851942:TKS851962 TUO851942:TUO851962 UEK851942:UEK851962 UOG851942:UOG851962 UYC851942:UYC851962 VHY851942:VHY851962 VRU851942:VRU851962 WBQ851942:WBQ851962 WLM851942:WLM851962 WVI851942:WVI851962 IW917478:IW917498 SS917478:SS917498 ACO917478:ACO917498 AMK917478:AMK917498 AWG917478:AWG917498 BGC917478:BGC917498 BPY917478:BPY917498 BZU917478:BZU917498 CJQ917478:CJQ917498 CTM917478:CTM917498 DDI917478:DDI917498 DNE917478:DNE917498 DXA917478:DXA917498 EGW917478:EGW917498 EQS917478:EQS917498 FAO917478:FAO917498 FKK917478:FKK917498 FUG917478:FUG917498 GEC917478:GEC917498 GNY917478:GNY917498 GXU917478:GXU917498 HHQ917478:HHQ917498 HRM917478:HRM917498 IBI917478:IBI917498 ILE917478:ILE917498 IVA917478:IVA917498 JEW917478:JEW917498 JOS917478:JOS917498 JYO917478:JYO917498 KIK917478:KIK917498 KSG917478:KSG917498 LCC917478:LCC917498 LLY917478:LLY917498 LVU917478:LVU917498 MFQ917478:MFQ917498 MPM917478:MPM917498 MZI917478:MZI917498 NJE917478:NJE917498 NTA917478:NTA917498 OCW917478:OCW917498 OMS917478:OMS917498 OWO917478:OWO917498 PGK917478:PGK917498 PQG917478:PQG917498 QAC917478:QAC917498 QJY917478:QJY917498 QTU917478:QTU917498 RDQ917478:RDQ917498 RNM917478:RNM917498 RXI917478:RXI917498 SHE917478:SHE917498 SRA917478:SRA917498 TAW917478:TAW917498 TKS917478:TKS917498 TUO917478:TUO917498 UEK917478:UEK917498 UOG917478:UOG917498 UYC917478:UYC917498 VHY917478:VHY917498 VRU917478:VRU917498 WBQ917478:WBQ917498 WLM917478:WLM917498 WVI917478:WVI917498 IW983014:IW983034 SS983014:SS983034 ACO983014:ACO983034 AMK983014:AMK983034 AWG983014:AWG983034 BGC983014:BGC983034 BPY983014:BPY983034 BZU983014:BZU983034 CJQ983014:CJQ983034 CTM983014:CTM983034 DDI983014:DDI983034 DNE983014:DNE983034 DXA983014:DXA983034 EGW983014:EGW983034 EQS983014:EQS983034 FAO983014:FAO983034 FKK983014:FKK983034 FUG983014:FUG983034 GEC983014:GEC983034 GNY983014:GNY983034 GXU983014:GXU983034 HHQ983014:HHQ983034 HRM983014:HRM983034 IBI983014:IBI983034 ILE983014:ILE983034 IVA983014:IVA983034 JEW983014:JEW983034 JOS983014:JOS983034 JYO983014:JYO983034 KIK983014:KIK983034 KSG983014:KSG983034 LCC983014:LCC983034 LLY983014:LLY983034 LVU983014:LVU983034 MFQ983014:MFQ983034 MPM983014:MPM983034 MZI983014:MZI983034 NJE983014:NJE983034 NTA983014:NTA983034 OCW983014:OCW983034 OMS983014:OMS983034 OWO983014:OWO983034 PGK983014:PGK983034 PQG983014:PQG983034 QAC983014:QAC983034 QJY983014:QJY983034 QTU983014:QTU983034 RDQ983014:RDQ983034 RNM983014:RNM983034 RXI983014:RXI983034 SHE983014:SHE983034 SRA983014:SRA983034 TAW983014:TAW983034 TKS983014:TKS983034 TUO983014:TUO983034 UEK983014:UEK983034 UOG983014:UOG983034 UYC983014:UYC983034 VHY983014:VHY983034 VRU983014:VRU983034 WBQ983014:WBQ983034 WLM983014:WLM983034 WVI983014:WVI983034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xr:uid="{00000000-0002-0000-0300-000000000000}">
      <formula1>-9999999999999990000</formula1>
      <formula2>99999999999999900000</formula2>
    </dataValidation>
    <dataValidation type="whole" showInputMessage="1" showErrorMessage="1" error="Ingresar valor entero" sqref="D28:E31 D9:E25" xr:uid="{00000000-0002-0000-0300-000001000000}">
      <formula1>-9999999999999990000</formula1>
      <formula2>99999999999999900000</formula2>
    </dataValidation>
  </dataValidations>
  <hyperlinks>
    <hyperlink ref="C9" location="'Nº28 Ing Ord'!A1" display="'Nº28 Ing Ord'!A1" xr:uid="{00000000-0004-0000-0300-000000000000}"/>
    <hyperlink ref="C11" location="'Nº36 a) Gto benef a empleados '!A1" display="36 a)" xr:uid="{00000000-0004-0000-0300-000002000000}"/>
    <hyperlink ref="C13" location="'Nº36 b) Deterioro'!A1" display="36 b)" xr:uid="{00000000-0004-0000-0300-000003000000}"/>
    <hyperlink ref="C14" location="'Nº36 c) Otros gtos por nat'!A1" display="36 c)" xr:uid="{00000000-0004-0000-0300-000004000000}"/>
    <hyperlink ref="C12" location="'Nº18 Pr Plt Eq'!A1" display="'Nº18 Pr Plt Eq'!A1" xr:uid="{00000000-0004-0000-0300-000005000000}"/>
    <hyperlink ref="C15" location="'Nº42 Otr Gan (Per)'!A1" display="'Nº42 Otr Gan (Per)'!A1" xr:uid="{00000000-0004-0000-0300-000006000000}"/>
    <hyperlink ref="C17" location="'Nº 41 Costo finan'!A1" display="'Nº 41 Costo finan'!A1" xr:uid="{00000000-0004-0000-0300-000007000000}"/>
    <hyperlink ref="C18" location="'Nº14 a) Inversion en soc'!A1" display="'Nº14 a) Inversion en soc'!A1" xr:uid="{00000000-0004-0000-0300-000008000000}"/>
    <hyperlink ref="C22" location="'Nº19 Imp cte y dif'!A40" display="'Nº19 Imp cte y dif'!A40" xr:uid="{00000000-0004-0000-0300-000009000000}"/>
    <hyperlink ref="C10" location="'Nº15 Inventario'!A1" display="'Nº15 Inventario'!A1" xr:uid="{ED014A5E-A8FF-44E3-96AD-3474D04D1ED6}"/>
  </hyperlinks>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3" tint="0.39997558519241921"/>
    <pageSetUpPr fitToPage="1"/>
  </sheetPr>
  <dimension ref="A1:J55"/>
  <sheetViews>
    <sheetView showGridLines="0" workbookViewId="0">
      <selection activeCell="B27" sqref="B27"/>
    </sheetView>
  </sheetViews>
  <sheetFormatPr baseColWidth="10" defaultColWidth="11.46484375" defaultRowHeight="13.15"/>
  <cols>
    <col min="1" max="1" width="2.53125" style="1" customWidth="1"/>
    <col min="2" max="2" width="35.53125" style="1" customWidth="1"/>
    <col min="3" max="3" width="12.19921875" style="1" customWidth="1"/>
    <col min="4" max="4" width="13.19921875" style="1" customWidth="1"/>
    <col min="5" max="7" width="12.19921875" style="1" customWidth="1"/>
    <col min="8" max="8" width="12.53125" style="1" customWidth="1"/>
    <col min="9" max="10" width="12.19921875" style="1" customWidth="1"/>
    <col min="11" max="16384" width="11.46484375" style="1"/>
  </cols>
  <sheetData>
    <row r="1" spans="1:10">
      <c r="A1" s="102"/>
      <c r="B1" s="102"/>
      <c r="C1" s="18"/>
      <c r="D1" s="102" t="s">
        <v>102</v>
      </c>
      <c r="E1" s="102"/>
      <c r="F1" s="102"/>
      <c r="G1" s="102"/>
      <c r="H1" s="102"/>
      <c r="I1" s="102"/>
      <c r="J1" s="102"/>
    </row>
    <row r="2" spans="1:10" ht="14.25">
      <c r="A2" s="102"/>
      <c r="B2" s="468">
        <f>+Datos!D8</f>
        <v>45657</v>
      </c>
      <c r="C2" s="102"/>
      <c r="D2" s="102"/>
      <c r="E2" s="102"/>
      <c r="F2" s="102"/>
      <c r="G2" s="102"/>
      <c r="H2" s="102"/>
      <c r="I2" s="102"/>
      <c r="J2" s="102"/>
    </row>
    <row r="3" spans="1:10">
      <c r="A3" s="102"/>
      <c r="B3" s="102"/>
      <c r="C3" s="1250"/>
      <c r="D3" s="1250"/>
      <c r="E3" s="1251"/>
      <c r="F3" s="1250"/>
      <c r="G3" s="1252"/>
      <c r="H3" s="1250"/>
      <c r="I3" s="1251"/>
      <c r="J3" s="1250"/>
    </row>
    <row r="4" spans="1:10">
      <c r="A4" s="102"/>
      <c r="B4" s="102"/>
      <c r="C4" s="1253"/>
      <c r="D4" s="1253"/>
      <c r="E4" s="1254"/>
      <c r="F4" s="1253"/>
      <c r="G4" s="1255"/>
      <c r="H4" s="1253" t="s">
        <v>39</v>
      </c>
      <c r="I4" s="1254"/>
      <c r="J4" s="1253"/>
    </row>
    <row r="5" spans="1:10">
      <c r="A5" s="102"/>
      <c r="B5" s="102"/>
      <c r="C5" s="1253"/>
      <c r="D5" s="1253"/>
      <c r="E5" s="1254"/>
      <c r="F5" s="1253"/>
      <c r="G5" s="1255"/>
      <c r="H5" s="1253" t="s">
        <v>84</v>
      </c>
      <c r="I5" s="1254"/>
      <c r="J5" s="1253"/>
    </row>
    <row r="6" spans="1:10">
      <c r="A6" s="102"/>
      <c r="B6" s="102"/>
      <c r="C6" s="1253"/>
      <c r="D6" s="1253" t="s">
        <v>76</v>
      </c>
      <c r="E6" s="1254" t="s">
        <v>76</v>
      </c>
      <c r="F6" s="1253"/>
      <c r="G6" s="1255" t="s">
        <v>81</v>
      </c>
      <c r="H6" s="1253" t="s">
        <v>85</v>
      </c>
      <c r="I6" s="1254"/>
      <c r="J6" s="1253"/>
    </row>
    <row r="7" spans="1:10">
      <c r="A7" s="102"/>
      <c r="B7" s="102"/>
      <c r="C7" s="1253" t="s">
        <v>74</v>
      </c>
      <c r="D7" s="1253" t="s">
        <v>77</v>
      </c>
      <c r="E7" s="1254" t="s">
        <v>79</v>
      </c>
      <c r="F7" s="1253" t="s">
        <v>76</v>
      </c>
      <c r="G7" s="1255" t="s">
        <v>82</v>
      </c>
      <c r="H7" s="1253" t="s">
        <v>86</v>
      </c>
      <c r="I7" s="1254" t="s">
        <v>87</v>
      </c>
      <c r="J7" s="1253" t="s">
        <v>39</v>
      </c>
    </row>
    <row r="8" spans="1:10">
      <c r="A8" s="102"/>
      <c r="B8" s="102"/>
      <c r="C8" s="1256" t="s">
        <v>75</v>
      </c>
      <c r="D8" s="1256" t="s">
        <v>78</v>
      </c>
      <c r="E8" s="1257" t="s">
        <v>80</v>
      </c>
      <c r="F8" s="1256" t="s">
        <v>79</v>
      </c>
      <c r="G8" s="1258" t="s">
        <v>83</v>
      </c>
      <c r="H8" s="1256" t="s">
        <v>44</v>
      </c>
      <c r="I8" s="1257" t="s">
        <v>88</v>
      </c>
      <c r="J8" s="1256" t="s">
        <v>89</v>
      </c>
    </row>
    <row r="9" spans="1:10">
      <c r="A9" s="102"/>
      <c r="B9" s="102" t="s">
        <v>1355</v>
      </c>
      <c r="C9" s="295">
        <f>+C51</f>
        <v>0</v>
      </c>
      <c r="D9" s="295">
        <f t="shared" ref="D9" si="0">+D51</f>
        <v>0</v>
      </c>
      <c r="E9" s="301">
        <f>+E51</f>
        <v>0</v>
      </c>
      <c r="F9" s="295">
        <f>+SUM(E9:E9)</f>
        <v>0</v>
      </c>
      <c r="G9" s="293">
        <f>+G51</f>
        <v>0</v>
      </c>
      <c r="H9" s="295">
        <f>+SUM(F9:G9,C9,D9)</f>
        <v>0</v>
      </c>
      <c r="I9" s="293"/>
      <c r="J9" s="295">
        <f>+SUM(H9:I9)</f>
        <v>0</v>
      </c>
    </row>
    <row r="10" spans="1:10">
      <c r="A10" s="102"/>
      <c r="B10" s="102" t="s">
        <v>90</v>
      </c>
      <c r="C10" s="2310"/>
      <c r="D10" s="2310"/>
      <c r="E10" s="2312"/>
      <c r="F10" s="2311">
        <f>+SUM(E10:E10)</f>
        <v>0</v>
      </c>
      <c r="G10" s="2312"/>
      <c r="H10" s="295">
        <f>+SUM(F10:G10,C10,D10)</f>
        <v>0</v>
      </c>
      <c r="I10" s="2312"/>
      <c r="J10" s="2311">
        <f t="shared" ref="J10:J13" si="1">+SUM(H10:I10)</f>
        <v>0</v>
      </c>
    </row>
    <row r="11" spans="1:10">
      <c r="A11" s="102"/>
      <c r="B11" s="102" t="s">
        <v>91</v>
      </c>
      <c r="C11" s="2310"/>
      <c r="D11" s="2310"/>
      <c r="E11" s="2312"/>
      <c r="F11" s="2311">
        <f>+SUM(E11:E11)</f>
        <v>0</v>
      </c>
      <c r="G11" s="2312"/>
      <c r="H11" s="295">
        <f>+SUM(F11:G11,C11,D11)</f>
        <v>0</v>
      </c>
      <c r="I11" s="2312"/>
      <c r="J11" s="2311">
        <f t="shared" si="1"/>
        <v>0</v>
      </c>
    </row>
    <row r="12" spans="1:10">
      <c r="A12" s="102"/>
      <c r="B12" s="102" t="s">
        <v>92</v>
      </c>
      <c r="C12" s="2310"/>
      <c r="D12" s="2310"/>
      <c r="E12" s="2312"/>
      <c r="F12" s="2311">
        <f>+SUM(E12:E12)</f>
        <v>0</v>
      </c>
      <c r="G12" s="2312"/>
      <c r="H12" s="295">
        <f>+SUM(F12:G12,C12,D12)</f>
        <v>0</v>
      </c>
      <c r="I12" s="2312"/>
      <c r="J12" s="2311">
        <f t="shared" si="1"/>
        <v>0</v>
      </c>
    </row>
    <row r="13" spans="1:10">
      <c r="A13" s="102"/>
      <c r="B13" s="102" t="s">
        <v>93</v>
      </c>
      <c r="C13" s="2310"/>
      <c r="D13" s="2310"/>
      <c r="E13" s="2312"/>
      <c r="F13" s="2311">
        <f>+SUM(E13:E13)</f>
        <v>0</v>
      </c>
      <c r="G13" s="2312"/>
      <c r="H13" s="295">
        <f>+SUM(F13:G13,C13,D13)</f>
        <v>0</v>
      </c>
      <c r="I13" s="2312"/>
      <c r="J13" s="2311">
        <f t="shared" si="1"/>
        <v>0</v>
      </c>
    </row>
    <row r="14" spans="1:10">
      <c r="A14" s="102"/>
      <c r="B14" s="1242" t="s">
        <v>94</v>
      </c>
      <c r="C14" s="1228">
        <f>+SUM(C9:C13)</f>
        <v>0</v>
      </c>
      <c r="D14" s="1228">
        <f t="shared" ref="D14:E14" si="2">+SUM(D9:D13)</f>
        <v>0</v>
      </c>
      <c r="E14" s="1259">
        <f t="shared" si="2"/>
        <v>0</v>
      </c>
      <c r="F14" s="1228">
        <f t="shared" ref="F14" si="3">+SUM(F9:F13)</f>
        <v>0</v>
      </c>
      <c r="G14" s="1259">
        <f t="shared" ref="G14" si="4">+SUM(G9:G13)</f>
        <v>0</v>
      </c>
      <c r="H14" s="1228">
        <f t="shared" ref="H14" si="5">+SUM(H9:H13)</f>
        <v>0</v>
      </c>
      <c r="I14" s="1259">
        <f t="shared" ref="I14" si="6">+SUM(I9:I13)</f>
        <v>0</v>
      </c>
      <c r="J14" s="1228">
        <f t="shared" ref="J14" si="7">+SUM(J9:J13)</f>
        <v>0</v>
      </c>
    </row>
    <row r="15" spans="1:10">
      <c r="A15" s="102"/>
      <c r="B15" s="103"/>
      <c r="C15" s="298"/>
      <c r="D15" s="298"/>
      <c r="E15" s="299"/>
      <c r="F15" s="298"/>
      <c r="G15" s="299"/>
      <c r="H15" s="298"/>
      <c r="I15" s="299"/>
      <c r="J15" s="298"/>
    </row>
    <row r="16" spans="1:10">
      <c r="A16" s="102"/>
      <c r="B16" s="153" t="s">
        <v>95</v>
      </c>
      <c r="C16" s="295"/>
      <c r="D16" s="295"/>
      <c r="E16" s="301"/>
      <c r="F16" s="295"/>
      <c r="G16" s="301"/>
      <c r="H16" s="295"/>
      <c r="I16" s="301"/>
      <c r="J16" s="295"/>
    </row>
    <row r="17" spans="1:10">
      <c r="A17" s="102"/>
      <c r="B17" s="103" t="s">
        <v>96</v>
      </c>
      <c r="C17" s="295"/>
      <c r="D17" s="295"/>
      <c r="E17" s="301"/>
      <c r="F17" s="295"/>
      <c r="G17" s="301"/>
      <c r="H17" s="295"/>
      <c r="I17" s="301"/>
      <c r="J17" s="295"/>
    </row>
    <row r="18" spans="1:10">
      <c r="A18" s="102"/>
      <c r="B18" s="102" t="s">
        <v>72</v>
      </c>
      <c r="C18" s="333"/>
      <c r="D18" s="333"/>
      <c r="E18" s="334"/>
      <c r="F18" s="333">
        <f>+SUM(E18:E18)</f>
        <v>0</v>
      </c>
      <c r="G18" s="293">
        <f>+'E°R° Natural SVS '!D25</f>
        <v>0</v>
      </c>
      <c r="H18" s="295">
        <f>+SUM(F18:G18,C18,D18)</f>
        <v>0</v>
      </c>
      <c r="I18" s="293"/>
      <c r="J18" s="295">
        <f t="shared" ref="J18:J19" si="8">+SUM(H18:I18)</f>
        <v>0</v>
      </c>
    </row>
    <row r="19" spans="1:10">
      <c r="A19" s="102"/>
      <c r="B19" s="102" t="s">
        <v>97</v>
      </c>
      <c r="C19" s="333"/>
      <c r="D19" s="333"/>
      <c r="E19" s="293"/>
      <c r="F19" s="295">
        <f>+SUM(E19:E19)</f>
        <v>0</v>
      </c>
      <c r="G19" s="334"/>
      <c r="H19" s="295">
        <f>+SUM(F19:G19,C19,D19)</f>
        <v>0</v>
      </c>
      <c r="I19" s="293"/>
      <c r="J19" s="295">
        <f t="shared" si="8"/>
        <v>0</v>
      </c>
    </row>
    <row r="20" spans="1:10" s="2" customFormat="1">
      <c r="A20" s="103"/>
      <c r="B20" s="1242" t="s">
        <v>96</v>
      </c>
      <c r="C20" s="1228">
        <f>+SUM(C18:C19)</f>
        <v>0</v>
      </c>
      <c r="D20" s="1228">
        <f t="shared" ref="D20:E20" si="9">+SUM(D18:D19)</f>
        <v>0</v>
      </c>
      <c r="E20" s="1259">
        <f t="shared" si="9"/>
        <v>0</v>
      </c>
      <c r="F20" s="1228">
        <f t="shared" ref="F20" si="10">+SUM(F18:F19)</f>
        <v>0</v>
      </c>
      <c r="G20" s="1259">
        <f t="shared" ref="G20" si="11">+SUM(G18:G19)</f>
        <v>0</v>
      </c>
      <c r="H20" s="1228">
        <f t="shared" ref="H20" si="12">+SUM(H18:H19)</f>
        <v>0</v>
      </c>
      <c r="I20" s="1259">
        <f t="shared" ref="I20" si="13">+SUM(I18:I19)</f>
        <v>0</v>
      </c>
      <c r="J20" s="1228">
        <f t="shared" ref="J20" si="14">+SUM(J18:J19)</f>
        <v>0</v>
      </c>
    </row>
    <row r="21" spans="1:10">
      <c r="A21" s="102"/>
      <c r="B21" s="102" t="s">
        <v>98</v>
      </c>
      <c r="C21" s="292"/>
      <c r="D21" s="292"/>
      <c r="E21" s="293"/>
      <c r="F21" s="295">
        <f>+SUM(E21:E21)</f>
        <v>0</v>
      </c>
      <c r="G21" s="293"/>
      <c r="H21" s="295">
        <f>+SUM(F21:G21,C21,D21)</f>
        <v>0</v>
      </c>
      <c r="I21" s="293"/>
      <c r="J21" s="295">
        <f t="shared" ref="J21:J23" si="15">+SUM(H21:I21)</f>
        <v>0</v>
      </c>
    </row>
    <row r="22" spans="1:10" ht="26.25">
      <c r="A22" s="102"/>
      <c r="B22" s="146" t="s">
        <v>672</v>
      </c>
      <c r="C22" s="335"/>
      <c r="D22" s="335"/>
      <c r="E22" s="336"/>
      <c r="F22" s="337">
        <f>+SUM(E22:E22)</f>
        <v>0</v>
      </c>
      <c r="G22" s="336"/>
      <c r="H22" s="295">
        <f>+SUM(F22:G22,C22,D22)</f>
        <v>0</v>
      </c>
      <c r="I22" s="336"/>
      <c r="J22" s="337">
        <f t="shared" si="15"/>
        <v>0</v>
      </c>
    </row>
    <row r="23" spans="1:10" ht="39.4">
      <c r="A23" s="102"/>
      <c r="B23" s="146" t="s">
        <v>673</v>
      </c>
      <c r="C23" s="335"/>
      <c r="D23" s="335"/>
      <c r="E23" s="336"/>
      <c r="F23" s="337">
        <f>+SUM(E23:E23)</f>
        <v>0</v>
      </c>
      <c r="G23" s="336"/>
      <c r="H23" s="295">
        <f>+SUM(F23:G23,C23,D23)</f>
        <v>0</v>
      </c>
      <c r="I23" s="336"/>
      <c r="J23" s="337">
        <f t="shared" si="15"/>
        <v>0</v>
      </c>
    </row>
    <row r="24" spans="1:10">
      <c r="A24" s="102"/>
      <c r="B24" s="1242" t="s">
        <v>99</v>
      </c>
      <c r="C24" s="1228">
        <f>+SUM(C20:C23)</f>
        <v>0</v>
      </c>
      <c r="D24" s="1228">
        <f t="shared" ref="D24:J24" si="16">+SUM(D20:D23)</f>
        <v>0</v>
      </c>
      <c r="E24" s="1259">
        <f t="shared" si="16"/>
        <v>0</v>
      </c>
      <c r="F24" s="1228">
        <f t="shared" si="16"/>
        <v>0</v>
      </c>
      <c r="G24" s="1259">
        <f t="shared" si="16"/>
        <v>0</v>
      </c>
      <c r="H24" s="1228">
        <f t="shared" si="16"/>
        <v>0</v>
      </c>
      <c r="I24" s="1259">
        <f t="shared" si="16"/>
        <v>0</v>
      </c>
      <c r="J24" s="1228">
        <f t="shared" si="16"/>
        <v>0</v>
      </c>
    </row>
    <row r="25" spans="1:10">
      <c r="A25" s="102"/>
      <c r="B25" s="1242" t="s">
        <v>1356</v>
      </c>
      <c r="C25" s="1228">
        <f>+C24+C14</f>
        <v>0</v>
      </c>
      <c r="D25" s="1228">
        <f t="shared" ref="D25:J25" si="17">+D24+D14</f>
        <v>0</v>
      </c>
      <c r="E25" s="1259">
        <f t="shared" si="17"/>
        <v>0</v>
      </c>
      <c r="F25" s="1228">
        <f t="shared" si="17"/>
        <v>0</v>
      </c>
      <c r="G25" s="1259">
        <f t="shared" si="17"/>
        <v>0</v>
      </c>
      <c r="H25" s="1228">
        <f t="shared" si="17"/>
        <v>0</v>
      </c>
      <c r="I25" s="1259">
        <f t="shared" si="17"/>
        <v>0</v>
      </c>
      <c r="J25" s="1228">
        <f t="shared" si="17"/>
        <v>0</v>
      </c>
    </row>
    <row r="26" spans="1:10">
      <c r="A26" s="102"/>
      <c r="B26" s="102"/>
      <c r="C26" s="152"/>
      <c r="D26" s="152"/>
      <c r="E26" s="152"/>
      <c r="F26" s="152"/>
      <c r="G26" s="152"/>
      <c r="H26" s="152"/>
      <c r="I26" s="152"/>
      <c r="J26" s="152"/>
    </row>
    <row r="27" spans="1:10" s="2" customFormat="1">
      <c r="A27" s="103"/>
      <c r="B27" s="106" t="s">
        <v>62</v>
      </c>
      <c r="C27" s="317">
        <f>+C25-'Est Situacion'!G75</f>
        <v>0</v>
      </c>
      <c r="D27" s="317">
        <f>+D25-'Est Situacion'!G77</f>
        <v>0</v>
      </c>
      <c r="E27" s="317"/>
      <c r="F27" s="317">
        <f>+F25-'Est Situacion'!G78</f>
        <v>0</v>
      </c>
      <c r="G27" s="317">
        <f>+G25-'Est Situacion'!G76-'Est Situacion'!G79</f>
        <v>0</v>
      </c>
      <c r="H27" s="317">
        <f>+H25-'Est Situacion'!G80</f>
        <v>0</v>
      </c>
      <c r="I27" s="317">
        <f>+I25-'Est Situacion'!G81</f>
        <v>0</v>
      </c>
      <c r="J27" s="318">
        <f>+J25-'Est Situacion'!G82</f>
        <v>0</v>
      </c>
    </row>
    <row r="28" spans="1:10">
      <c r="A28" s="102"/>
      <c r="B28" s="102"/>
      <c r="C28" s="152"/>
      <c r="D28" s="152"/>
      <c r="E28" s="152"/>
      <c r="F28" s="152"/>
      <c r="G28" s="152"/>
      <c r="H28" s="152"/>
      <c r="I28" s="152"/>
      <c r="J28" s="152"/>
    </row>
    <row r="29" spans="1:10">
      <c r="A29" s="102"/>
      <c r="B29" s="102"/>
      <c r="C29" s="1260"/>
      <c r="D29" s="1260"/>
      <c r="E29" s="1261"/>
      <c r="F29" s="1260"/>
      <c r="G29" s="1261"/>
      <c r="H29" s="1260"/>
      <c r="I29" s="1261"/>
      <c r="J29" s="1260"/>
    </row>
    <row r="30" spans="1:10">
      <c r="A30" s="102"/>
      <c r="B30" s="102"/>
      <c r="C30" s="1262"/>
      <c r="D30" s="1262"/>
      <c r="E30" s="1263"/>
      <c r="F30" s="1262"/>
      <c r="G30" s="1263"/>
      <c r="H30" s="1262" t="s">
        <v>39</v>
      </c>
      <c r="I30" s="1263"/>
      <c r="J30" s="1262"/>
    </row>
    <row r="31" spans="1:10">
      <c r="A31" s="102"/>
      <c r="B31" s="102"/>
      <c r="C31" s="1262"/>
      <c r="D31" s="1262"/>
      <c r="E31" s="1263"/>
      <c r="F31" s="1262"/>
      <c r="G31" s="1263"/>
      <c r="H31" s="1262" t="s">
        <v>84</v>
      </c>
      <c r="I31" s="1263"/>
      <c r="J31" s="1262"/>
    </row>
    <row r="32" spans="1:10">
      <c r="A32" s="102"/>
      <c r="B32" s="102"/>
      <c r="C32" s="1262"/>
      <c r="D32" s="1262" t="s">
        <v>76</v>
      </c>
      <c r="E32" s="1263" t="s">
        <v>76</v>
      </c>
      <c r="F32" s="1262"/>
      <c r="G32" s="1263" t="s">
        <v>81</v>
      </c>
      <c r="H32" s="1262" t="s">
        <v>85</v>
      </c>
      <c r="I32" s="1263"/>
      <c r="J32" s="1262"/>
    </row>
    <row r="33" spans="1:10">
      <c r="A33" s="102"/>
      <c r="B33" s="102"/>
      <c r="C33" s="1262" t="s">
        <v>74</v>
      </c>
      <c r="D33" s="1262" t="s">
        <v>77</v>
      </c>
      <c r="E33" s="1263" t="s">
        <v>79</v>
      </c>
      <c r="F33" s="1262" t="s">
        <v>76</v>
      </c>
      <c r="G33" s="1263" t="s">
        <v>82</v>
      </c>
      <c r="H33" s="1262" t="s">
        <v>86</v>
      </c>
      <c r="I33" s="1263" t="s">
        <v>87</v>
      </c>
      <c r="J33" s="1262" t="s">
        <v>39</v>
      </c>
    </row>
    <row r="34" spans="1:10">
      <c r="A34" s="102"/>
      <c r="B34" s="102"/>
      <c r="C34" s="1264" t="s">
        <v>75</v>
      </c>
      <c r="D34" s="1264" t="s">
        <v>78</v>
      </c>
      <c r="E34" s="1265" t="s">
        <v>80</v>
      </c>
      <c r="F34" s="1264" t="s">
        <v>79</v>
      </c>
      <c r="G34" s="1265" t="s">
        <v>83</v>
      </c>
      <c r="H34" s="1264" t="s">
        <v>44</v>
      </c>
      <c r="I34" s="1265" t="s">
        <v>88</v>
      </c>
      <c r="J34" s="1264" t="s">
        <v>89</v>
      </c>
    </row>
    <row r="35" spans="1:10">
      <c r="A35" s="102"/>
      <c r="B35" s="102" t="s">
        <v>1353</v>
      </c>
      <c r="C35" s="292">
        <f>+'Est Situacion'!I75</f>
        <v>0</v>
      </c>
      <c r="D35" s="292"/>
      <c r="E35" s="293"/>
      <c r="F35" s="295">
        <f>+'Est Situacion'!I78</f>
        <v>0</v>
      </c>
      <c r="G35" s="293">
        <f>+'Est Situacion'!I76+'Est Situacion'!I79</f>
        <v>0</v>
      </c>
      <c r="H35" s="295">
        <f>+SUM(F35:G35,C35)</f>
        <v>0</v>
      </c>
      <c r="I35" s="293"/>
      <c r="J35" s="295">
        <f>+SUM(H35:I35)</f>
        <v>0</v>
      </c>
    </row>
    <row r="36" spans="1:10">
      <c r="A36" s="102"/>
      <c r="B36" s="102" t="s">
        <v>90</v>
      </c>
      <c r="C36" s="2310"/>
      <c r="D36" s="2310"/>
      <c r="E36" s="2312"/>
      <c r="F36" s="2311">
        <f>+SUM(E36:E36)</f>
        <v>0</v>
      </c>
      <c r="G36" s="2312"/>
      <c r="H36" s="295">
        <f>+SUM(F36:G36,C36)</f>
        <v>0</v>
      </c>
      <c r="I36" s="2312"/>
      <c r="J36" s="2311">
        <f t="shared" ref="J36:J39" si="18">+SUM(H36:I36)</f>
        <v>0</v>
      </c>
    </row>
    <row r="37" spans="1:10">
      <c r="A37" s="102"/>
      <c r="B37" s="102" t="s">
        <v>91</v>
      </c>
      <c r="C37" s="2310"/>
      <c r="D37" s="2310"/>
      <c r="E37" s="2312"/>
      <c r="F37" s="2311">
        <f>+SUM(E37:E37)</f>
        <v>0</v>
      </c>
      <c r="G37" s="2312"/>
      <c r="H37" s="295">
        <f>+SUM(F37:G37,C37)</f>
        <v>0</v>
      </c>
      <c r="I37" s="2312"/>
      <c r="J37" s="2311">
        <f t="shared" si="18"/>
        <v>0</v>
      </c>
    </row>
    <row r="38" spans="1:10">
      <c r="A38" s="102"/>
      <c r="B38" s="102" t="s">
        <v>92</v>
      </c>
      <c r="C38" s="2310"/>
      <c r="D38" s="2310"/>
      <c r="E38" s="2312"/>
      <c r="F38" s="2311">
        <f>+SUM(E38:E38)</f>
        <v>0</v>
      </c>
      <c r="G38" s="2312"/>
      <c r="H38" s="295">
        <f>+SUM(F38:G38,C38)</f>
        <v>0</v>
      </c>
      <c r="I38" s="2312"/>
      <c r="J38" s="2311">
        <f t="shared" si="18"/>
        <v>0</v>
      </c>
    </row>
    <row r="39" spans="1:10">
      <c r="A39" s="102"/>
      <c r="B39" s="102" t="s">
        <v>93</v>
      </c>
      <c r="C39" s="2310"/>
      <c r="D39" s="2310"/>
      <c r="E39" s="2312"/>
      <c r="F39" s="2311">
        <f>+SUM(E39:E39)</f>
        <v>0</v>
      </c>
      <c r="G39" s="2312"/>
      <c r="H39" s="295">
        <f>+SUM(F39:G39,C39)</f>
        <v>0</v>
      </c>
      <c r="I39" s="2312"/>
      <c r="J39" s="2311">
        <f t="shared" si="18"/>
        <v>0</v>
      </c>
    </row>
    <row r="40" spans="1:10">
      <c r="A40" s="102"/>
      <c r="B40" s="1242" t="s">
        <v>94</v>
      </c>
      <c r="C40" s="1228">
        <f>+SUM(C35:C39)</f>
        <v>0</v>
      </c>
      <c r="D40" s="1228">
        <f t="shared" ref="D40" si="19">+SUM(D35:D39)</f>
        <v>0</v>
      </c>
      <c r="E40" s="1259">
        <f t="shared" ref="E40:F40" si="20">+SUM(E35:E39)</f>
        <v>0</v>
      </c>
      <c r="F40" s="1228">
        <f t="shared" si="20"/>
        <v>0</v>
      </c>
      <c r="G40" s="1259">
        <f t="shared" ref="G40" si="21">+SUM(G35:G39)</f>
        <v>0</v>
      </c>
      <c r="H40" s="1228">
        <f t="shared" ref="H40" si="22">+SUM(H35:H39)</f>
        <v>0</v>
      </c>
      <c r="I40" s="1259">
        <f t="shared" ref="I40" si="23">+SUM(I35:I39)</f>
        <v>0</v>
      </c>
      <c r="J40" s="1228">
        <f t="shared" ref="J40" si="24">+SUM(J35:J39)</f>
        <v>0</v>
      </c>
    </row>
    <row r="41" spans="1:10">
      <c r="A41" s="102"/>
      <c r="B41" s="103"/>
      <c r="C41" s="298"/>
      <c r="D41" s="298"/>
      <c r="E41" s="299"/>
      <c r="F41" s="298"/>
      <c r="G41" s="299"/>
      <c r="H41" s="298"/>
      <c r="I41" s="299"/>
      <c r="J41" s="298"/>
    </row>
    <row r="42" spans="1:10">
      <c r="A42" s="102"/>
      <c r="B42" s="153" t="s">
        <v>95</v>
      </c>
      <c r="C42" s="295"/>
      <c r="D42" s="295"/>
      <c r="E42" s="301"/>
      <c r="F42" s="295"/>
      <c r="G42" s="301"/>
      <c r="H42" s="295"/>
      <c r="I42" s="301"/>
      <c r="J42" s="295"/>
    </row>
    <row r="43" spans="1:10">
      <c r="A43" s="102"/>
      <c r="B43" s="103" t="s">
        <v>96</v>
      </c>
      <c r="C43" s="295"/>
      <c r="D43" s="295"/>
      <c r="E43" s="301"/>
      <c r="F43" s="295"/>
      <c r="G43" s="301"/>
      <c r="H43" s="295"/>
      <c r="I43" s="301"/>
      <c r="J43" s="295"/>
    </row>
    <row r="44" spans="1:10">
      <c r="A44" s="102"/>
      <c r="B44" s="102" t="s">
        <v>72</v>
      </c>
      <c r="C44" s="333"/>
      <c r="D44" s="333"/>
      <c r="E44" s="334"/>
      <c r="F44" s="333">
        <f>+SUM(E44:E44)</f>
        <v>0</v>
      </c>
      <c r="G44" s="293">
        <f>+'E°R° Natural SVS '!E30</f>
        <v>0</v>
      </c>
      <c r="H44" s="295">
        <f>+SUM(F44:G44,C44)</f>
        <v>0</v>
      </c>
      <c r="I44" s="293"/>
      <c r="J44" s="295">
        <f t="shared" ref="J44:J45" si="25">+SUM(H44:I44)</f>
        <v>0</v>
      </c>
    </row>
    <row r="45" spans="1:10">
      <c r="A45" s="102"/>
      <c r="B45" s="102" t="s">
        <v>97</v>
      </c>
      <c r="C45" s="333"/>
      <c r="D45" s="333"/>
      <c r="E45" s="293"/>
      <c r="F45" s="295">
        <f>+SUM(E45:E45)</f>
        <v>0</v>
      </c>
      <c r="G45" s="334"/>
      <c r="H45" s="295">
        <f>+SUM(F45:G45,C45)</f>
        <v>0</v>
      </c>
      <c r="I45" s="293"/>
      <c r="J45" s="295">
        <f t="shared" si="25"/>
        <v>0</v>
      </c>
    </row>
    <row r="46" spans="1:10" s="2" customFormat="1">
      <c r="A46" s="103"/>
      <c r="B46" s="1242" t="s">
        <v>96</v>
      </c>
      <c r="C46" s="1228">
        <f>+SUM(C44:C45)</f>
        <v>0</v>
      </c>
      <c r="D46" s="1228">
        <f t="shared" ref="D46" si="26">+SUM(D44:D45)</f>
        <v>0</v>
      </c>
      <c r="E46" s="1259">
        <f t="shared" ref="E46:F46" si="27">+SUM(E44:E45)</f>
        <v>0</v>
      </c>
      <c r="F46" s="1228">
        <f t="shared" si="27"/>
        <v>0</v>
      </c>
      <c r="G46" s="1259">
        <f t="shared" ref="G46" si="28">+SUM(G44:G45)</f>
        <v>0</v>
      </c>
      <c r="H46" s="1228">
        <f t="shared" ref="H46" si="29">+SUM(H44:H45)</f>
        <v>0</v>
      </c>
      <c r="I46" s="1259">
        <f t="shared" ref="I46" si="30">+SUM(I44:I45)</f>
        <v>0</v>
      </c>
      <c r="J46" s="1228">
        <f t="shared" ref="J46" si="31">+SUM(J44:J45)</f>
        <v>0</v>
      </c>
    </row>
    <row r="47" spans="1:10">
      <c r="A47" s="102"/>
      <c r="B47" s="102" t="s">
        <v>98</v>
      </c>
      <c r="C47" s="292"/>
      <c r="D47" s="292"/>
      <c r="E47" s="293"/>
      <c r="F47" s="295">
        <f>+SUM(E47:E47)</f>
        <v>0</v>
      </c>
      <c r="G47" s="301"/>
      <c r="H47" s="295">
        <f>+SUM(F47:G47,C47)</f>
        <v>0</v>
      </c>
      <c r="I47" s="293"/>
      <c r="J47" s="295">
        <f t="shared" ref="J47:J49" si="32">+SUM(H47:I47)</f>
        <v>0</v>
      </c>
    </row>
    <row r="48" spans="1:10" ht="26.25">
      <c r="A48" s="102"/>
      <c r="B48" s="146" t="s">
        <v>672</v>
      </c>
      <c r="C48" s="2310"/>
      <c r="D48" s="2310"/>
      <c r="E48" s="2312"/>
      <c r="F48" s="295">
        <f>+SUM(E48:E48)</f>
        <v>0</v>
      </c>
      <c r="G48" s="2313"/>
      <c r="H48" s="295">
        <f>+SUM(F48:G48,C48)</f>
        <v>0</v>
      </c>
      <c r="I48" s="2312"/>
      <c r="J48" s="2311">
        <f t="shared" si="32"/>
        <v>0</v>
      </c>
    </row>
    <row r="49" spans="1:10" ht="39.4">
      <c r="A49" s="102"/>
      <c r="B49" s="146" t="s">
        <v>673</v>
      </c>
      <c r="C49" s="2310"/>
      <c r="D49" s="2310"/>
      <c r="E49" s="2312"/>
      <c r="F49" s="295">
        <f>+SUM(E49:E49)</f>
        <v>0</v>
      </c>
      <c r="G49" s="2313"/>
      <c r="H49" s="295">
        <f>+SUM(F49:G49,C49)</f>
        <v>0</v>
      </c>
      <c r="I49" s="2312"/>
      <c r="J49" s="2311">
        <f t="shared" si="32"/>
        <v>0</v>
      </c>
    </row>
    <row r="50" spans="1:10">
      <c r="A50" s="102"/>
      <c r="B50" s="1242" t="s">
        <v>99</v>
      </c>
      <c r="C50" s="1228">
        <f t="shared" ref="C50:J50" si="33">+SUM(C46:C49)</f>
        <v>0</v>
      </c>
      <c r="D50" s="1228">
        <f t="shared" si="33"/>
        <v>0</v>
      </c>
      <c r="E50" s="1259">
        <f t="shared" si="33"/>
        <v>0</v>
      </c>
      <c r="F50" s="1228">
        <f t="shared" si="33"/>
        <v>0</v>
      </c>
      <c r="G50" s="1259">
        <f t="shared" si="33"/>
        <v>0</v>
      </c>
      <c r="H50" s="1228">
        <f t="shared" si="33"/>
        <v>0</v>
      </c>
      <c r="I50" s="1259">
        <f t="shared" si="33"/>
        <v>0</v>
      </c>
      <c r="J50" s="1228">
        <f t="shared" si="33"/>
        <v>0</v>
      </c>
    </row>
    <row r="51" spans="1:10">
      <c r="A51" s="102"/>
      <c r="B51" s="1242" t="s">
        <v>1354</v>
      </c>
      <c r="C51" s="1228">
        <f t="shared" ref="C51:J51" si="34">+C50+C40</f>
        <v>0</v>
      </c>
      <c r="D51" s="1228">
        <f t="shared" si="34"/>
        <v>0</v>
      </c>
      <c r="E51" s="1259">
        <f t="shared" si="34"/>
        <v>0</v>
      </c>
      <c r="F51" s="1228">
        <f t="shared" si="34"/>
        <v>0</v>
      </c>
      <c r="G51" s="1259">
        <f t="shared" si="34"/>
        <v>0</v>
      </c>
      <c r="H51" s="1228">
        <f t="shared" si="34"/>
        <v>0</v>
      </c>
      <c r="I51" s="1259">
        <f t="shared" si="34"/>
        <v>0</v>
      </c>
      <c r="J51" s="1228">
        <f t="shared" si="34"/>
        <v>0</v>
      </c>
    </row>
    <row r="52" spans="1:10">
      <c r="A52" s="102"/>
      <c r="B52" s="103"/>
      <c r="C52" s="299"/>
      <c r="D52" s="299"/>
      <c r="E52" s="299"/>
      <c r="F52" s="299"/>
      <c r="G52" s="299"/>
      <c r="H52" s="299"/>
      <c r="I52" s="299"/>
      <c r="J52" s="299"/>
    </row>
    <row r="53" spans="1:10">
      <c r="A53" s="102"/>
      <c r="B53" s="102" t="s">
        <v>100</v>
      </c>
      <c r="C53" s="301"/>
      <c r="D53" s="301"/>
      <c r="E53" s="301"/>
      <c r="F53" s="301"/>
      <c r="G53" s="301"/>
      <c r="H53" s="301"/>
      <c r="I53" s="301"/>
      <c r="J53" s="301"/>
    </row>
    <row r="54" spans="1:10" s="2" customFormat="1">
      <c r="A54" s="103"/>
      <c r="B54" s="106" t="s">
        <v>62</v>
      </c>
      <c r="C54" s="302">
        <f>+C51-'Est Situacion'!H75</f>
        <v>0</v>
      </c>
      <c r="D54" s="302">
        <f>+D51-'Est Situacion'!H77</f>
        <v>0</v>
      </c>
      <c r="E54" s="302"/>
      <c r="F54" s="302">
        <f>+F51-'Est Situacion'!H78</f>
        <v>0</v>
      </c>
      <c r="G54" s="302">
        <f>+G51-'Est Situacion'!H76-'Est Situacion'!H79</f>
        <v>0</v>
      </c>
      <c r="H54" s="302">
        <f>+H51-'Est Situacion'!H80</f>
        <v>0</v>
      </c>
      <c r="I54" s="302">
        <f>+I51-'Est Situacion'!H81</f>
        <v>0</v>
      </c>
      <c r="J54" s="338">
        <f>+J51-'Est Situacion'!H82</f>
        <v>0</v>
      </c>
    </row>
    <row r="55" spans="1:10">
      <c r="A55" s="102"/>
      <c r="B55" s="102" t="s">
        <v>101</v>
      </c>
      <c r="C55" s="301"/>
      <c r="D55" s="301"/>
      <c r="E55" s="301"/>
      <c r="F55" s="301"/>
      <c r="G55" s="301"/>
      <c r="H55" s="301"/>
      <c r="I55" s="301"/>
      <c r="J55" s="301"/>
    </row>
  </sheetData>
  <mergeCells count="34">
    <mergeCell ref="F10:F11"/>
    <mergeCell ref="G10:G11"/>
    <mergeCell ref="G12:G13"/>
    <mergeCell ref="I12:I13"/>
    <mergeCell ref="I10:I11"/>
    <mergeCell ref="C10:C11"/>
    <mergeCell ref="J36:J37"/>
    <mergeCell ref="E36:E37"/>
    <mergeCell ref="F36:F37"/>
    <mergeCell ref="G36:G37"/>
    <mergeCell ref="I36:I37"/>
    <mergeCell ref="C36:C37"/>
    <mergeCell ref="D36:D37"/>
    <mergeCell ref="C12:C13"/>
    <mergeCell ref="D12:D13"/>
    <mergeCell ref="D10:D11"/>
    <mergeCell ref="J12:J13"/>
    <mergeCell ref="J10:J11"/>
    <mergeCell ref="E12:E13"/>
    <mergeCell ref="F12:F13"/>
    <mergeCell ref="E10:E11"/>
    <mergeCell ref="C38:C39"/>
    <mergeCell ref="D38:D39"/>
    <mergeCell ref="C48:C49"/>
    <mergeCell ref="D48:D49"/>
    <mergeCell ref="J48:J49"/>
    <mergeCell ref="E48:E49"/>
    <mergeCell ref="G48:G49"/>
    <mergeCell ref="I48:I49"/>
    <mergeCell ref="G38:G39"/>
    <mergeCell ref="I38:I39"/>
    <mergeCell ref="J38:J39"/>
    <mergeCell ref="E38:E39"/>
    <mergeCell ref="F38:F39"/>
  </mergeCells>
  <dataValidations count="1">
    <dataValidation type="whole" allowBlank="1" showInputMessage="1" showErrorMessage="1" sqref="C9:J13 C47:J49 C41:J45 C21:J23 C35:J39 C17:J19" xr:uid="{00000000-0002-0000-0700-000000000000}">
      <formula1>-9999999999999990000</formula1>
      <formula2>9999999999999990000</formula2>
    </dataValidation>
  </dataValidations>
  <pageMargins left="0.70866141732283472" right="0.70866141732283472" top="0.74803149606299213" bottom="0.74803149606299213" header="0.31496062992125984" footer="0.31496062992125984"/>
  <pageSetup paperSize="9" scale="64" orientation="landscape" horizontalDpi="200" verticalDpi="200" r:id="rId1"/>
  <rowBreaks count="1" manualBreakCount="1">
    <brk id="28" max="16383" man="1"/>
  </rowBreaks>
  <ignoredErrors>
    <ignoredError sqref="F46 H46 J46 F20 H20 J20" 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F68-9A08-43EF-9A18-16E45723B338}">
  <sheetPr>
    <tabColor theme="3" tint="0.39997558519241921"/>
  </sheetPr>
  <dimension ref="B2:H32"/>
  <sheetViews>
    <sheetView workbookViewId="0">
      <selection activeCell="J12" sqref="J12"/>
    </sheetView>
  </sheetViews>
  <sheetFormatPr baseColWidth="10" defaultColWidth="10.86328125" defaultRowHeight="13.5"/>
  <cols>
    <col min="1" max="1" width="10.86328125" style="735"/>
    <col min="2" max="2" width="41.86328125" style="735" customWidth="1"/>
    <col min="3" max="3" width="12" style="735" bestFit="1" customWidth="1"/>
    <col min="4" max="4" width="11.796875" style="735" bestFit="1" customWidth="1"/>
    <col min="5" max="5" width="14.796875" style="735" bestFit="1" customWidth="1"/>
    <col min="6" max="16384" width="10.86328125" style="735"/>
  </cols>
  <sheetData>
    <row r="2" spans="2:8" ht="13.9" thickBot="1"/>
    <row r="3" spans="2:8" ht="13.9" thickBot="1">
      <c r="B3" s="809" t="s">
        <v>1293</v>
      </c>
      <c r="C3" s="1134">
        <f>+'Est Situacion'!G4</f>
        <v>45657</v>
      </c>
      <c r="D3" s="1134">
        <f>+'Est Situacion'!H4</f>
        <v>45291</v>
      </c>
      <c r="E3" s="1134">
        <f>+'Est Situacion'!I4</f>
        <v>44927</v>
      </c>
    </row>
    <row r="4" spans="2:8">
      <c r="C4" s="757"/>
      <c r="D4" s="757"/>
      <c r="E4" s="1167"/>
    </row>
    <row r="5" spans="2:8">
      <c r="B5" s="1135" t="s">
        <v>1294</v>
      </c>
      <c r="C5" s="1136"/>
      <c r="D5" s="1136"/>
      <c r="E5" s="1137"/>
    </row>
    <row r="6" spans="2:8">
      <c r="C6" s="757"/>
      <c r="D6" s="757"/>
      <c r="E6" s="1143"/>
    </row>
    <row r="7" spans="2:8">
      <c r="C7" s="757"/>
      <c r="D7" s="757"/>
      <c r="E7" s="1143"/>
    </row>
    <row r="8" spans="2:8">
      <c r="C8" s="757"/>
      <c r="D8" s="757"/>
      <c r="E8" s="1048"/>
    </row>
    <row r="9" spans="2:8">
      <c r="C9" s="757"/>
      <c r="D9" s="757"/>
      <c r="E9" s="1143"/>
    </row>
    <row r="10" spans="2:8">
      <c r="C10" s="757"/>
      <c r="D10" s="757"/>
      <c r="E10" s="1143"/>
    </row>
    <row r="11" spans="2:8">
      <c r="C11" s="757"/>
      <c r="D11" s="757"/>
      <c r="E11" s="1143"/>
    </row>
    <row r="12" spans="2:8">
      <c r="C12" s="757"/>
      <c r="D12" s="757"/>
      <c r="E12" s="1143"/>
    </row>
    <row r="13" spans="2:8">
      <c r="C13" s="757"/>
      <c r="D13" s="757"/>
      <c r="E13" s="1143"/>
    </row>
    <row r="14" spans="2:8">
      <c r="C14" s="757"/>
      <c r="D14" s="757"/>
      <c r="E14" s="1143"/>
    </row>
    <row r="15" spans="2:8">
      <c r="B15" s="809" t="s">
        <v>1313</v>
      </c>
      <c r="C15" s="1144"/>
      <c r="D15" s="1144"/>
      <c r="E15" s="1145">
        <f>SUM(E6:E14)</f>
        <v>0</v>
      </c>
      <c r="F15" s="809" t="s">
        <v>1311</v>
      </c>
      <c r="G15" s="809"/>
      <c r="H15" s="809"/>
    </row>
    <row r="16" spans="2:8" ht="13.9" thickBot="1">
      <c r="C16" s="757"/>
      <c r="D16" s="757"/>
      <c r="E16" s="754"/>
    </row>
    <row r="17" spans="2:5" ht="13.9" thickBot="1">
      <c r="B17" s="1138" t="s">
        <v>1295</v>
      </c>
      <c r="C17" s="1139"/>
      <c r="D17" s="1139"/>
      <c r="E17" s="1140">
        <f>+'Est Situacion'!I80</f>
        <v>0</v>
      </c>
    </row>
    <row r="18" spans="2:5" ht="13.9" thickBot="1"/>
    <row r="19" spans="2:5" ht="13.9" thickBot="1">
      <c r="B19" s="1146" t="s">
        <v>1312</v>
      </c>
      <c r="C19" s="1147"/>
      <c r="D19" s="1147"/>
      <c r="E19" s="1148">
        <f>+E17-E15</f>
        <v>0</v>
      </c>
    </row>
    <row r="20" spans="2:5" ht="13.9" thickBot="1"/>
    <row r="21" spans="2:5" ht="13.9" thickBot="1">
      <c r="B21" s="809" t="s">
        <v>1297</v>
      </c>
      <c r="C21" s="1134">
        <f>+C3</f>
        <v>45657</v>
      </c>
      <c r="D21" s="1134">
        <f>+D3</f>
        <v>45291</v>
      </c>
    </row>
    <row r="22" spans="2:5" ht="13.9" thickBot="1">
      <c r="C22" s="757"/>
      <c r="D22" s="757"/>
    </row>
    <row r="23" spans="2:5" ht="13.9" thickBot="1">
      <c r="B23" s="1141" t="s">
        <v>1310</v>
      </c>
      <c r="C23" s="1142"/>
      <c r="D23" s="1142"/>
    </row>
    <row r="24" spans="2:5">
      <c r="C24" s="757"/>
      <c r="D24" s="757"/>
    </row>
    <row r="25" spans="2:5">
      <c r="C25" s="757"/>
      <c r="D25" s="757"/>
    </row>
    <row r="26" spans="2:5">
      <c r="C26" s="757"/>
      <c r="D26" s="757"/>
    </row>
    <row r="27" spans="2:5">
      <c r="C27" s="757"/>
      <c r="D27" s="757"/>
    </row>
    <row r="28" spans="2:5">
      <c r="C28" s="757"/>
      <c r="D28" s="757"/>
    </row>
    <row r="29" spans="2:5">
      <c r="C29" s="757"/>
      <c r="D29" s="757"/>
    </row>
    <row r="30" spans="2:5">
      <c r="C30" s="757"/>
      <c r="D30" s="757"/>
    </row>
    <row r="31" spans="2:5" ht="13.9" thickBot="1">
      <c r="C31" s="757"/>
      <c r="D31" s="757"/>
    </row>
    <row r="32" spans="2:5" ht="13.9" thickBot="1">
      <c r="B32" s="1141" t="s">
        <v>1296</v>
      </c>
      <c r="C32" s="1142"/>
      <c r="D32" s="114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3" tint="0.39997558519241921"/>
  </sheetPr>
  <dimension ref="B3:D16"/>
  <sheetViews>
    <sheetView showGridLines="0" workbookViewId="0">
      <selection activeCell="G17" sqref="G17"/>
    </sheetView>
  </sheetViews>
  <sheetFormatPr baseColWidth="10" defaultColWidth="11.46484375" defaultRowHeight="11.65"/>
  <cols>
    <col min="1" max="1" width="11.46484375" style="28"/>
    <col min="2" max="2" width="48.796875" style="28" bestFit="1" customWidth="1"/>
    <col min="3" max="3" width="13" style="28" customWidth="1"/>
    <col min="4" max="4" width="14.19921875" style="28" bestFit="1" customWidth="1"/>
    <col min="5" max="16384" width="11.46484375" style="28"/>
  </cols>
  <sheetData>
    <row r="3" spans="2:4">
      <c r="B3" s="133" t="s">
        <v>1284</v>
      </c>
    </row>
    <row r="5" spans="2:4" ht="12" thickBot="1"/>
    <row r="6" spans="2:4">
      <c r="B6" s="134" t="s">
        <v>1285</v>
      </c>
      <c r="C6" s="1031" t="s">
        <v>633</v>
      </c>
      <c r="D6" s="1031" t="s">
        <v>634</v>
      </c>
    </row>
    <row r="7" spans="2:4">
      <c r="B7" s="92"/>
      <c r="C7" s="1032"/>
      <c r="D7" s="1034"/>
    </row>
    <row r="8" spans="2:4">
      <c r="B8" s="92"/>
      <c r="C8" s="1032"/>
      <c r="D8" s="1034"/>
    </row>
    <row r="9" spans="2:4">
      <c r="B9" s="92"/>
      <c r="C9" s="1032"/>
      <c r="D9" s="1034"/>
    </row>
    <row r="10" spans="2:4">
      <c r="B10" s="92"/>
      <c r="C10" s="1032"/>
      <c r="D10" s="1034"/>
    </row>
    <row r="11" spans="2:4">
      <c r="B11" s="92"/>
      <c r="C11" s="1032"/>
      <c r="D11" s="1034"/>
    </row>
    <row r="12" spans="2:4">
      <c r="B12" s="92"/>
      <c r="C12" s="1032"/>
      <c r="D12" s="1034"/>
    </row>
    <row r="13" spans="2:4">
      <c r="B13" s="92"/>
      <c r="C13" s="1032"/>
      <c r="D13" s="1034"/>
    </row>
    <row r="14" spans="2:4">
      <c r="B14" s="92"/>
      <c r="C14" s="1032"/>
      <c r="D14" s="1034"/>
    </row>
    <row r="15" spans="2:4">
      <c r="B15" s="92"/>
      <c r="C15" s="1032"/>
      <c r="D15" s="1034"/>
    </row>
    <row r="16" spans="2:4" ht="12" thickBot="1">
      <c r="B16" s="1030"/>
      <c r="C16" s="1033"/>
      <c r="D16" s="1035">
        <f>+SUM(D7:D15)</f>
        <v>0</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3" tint="0.39997558519241921"/>
    <pageSetUpPr fitToPage="1"/>
  </sheetPr>
  <dimension ref="A1:O89"/>
  <sheetViews>
    <sheetView showGridLines="0" workbookViewId="0">
      <selection activeCell="M3" sqref="M3"/>
    </sheetView>
  </sheetViews>
  <sheetFormatPr baseColWidth="10" defaultColWidth="11.46484375" defaultRowHeight="13.15" outlineLevelRow="1"/>
  <cols>
    <col min="1" max="1" width="11.46484375" style="1"/>
    <col min="2" max="2" width="34.796875" style="1" customWidth="1"/>
    <col min="3" max="3" width="14.46484375" style="1" customWidth="1"/>
    <col min="4" max="6" width="14" style="1" bestFit="1" customWidth="1"/>
    <col min="7" max="7" width="10.33203125" style="1" customWidth="1"/>
    <col min="8" max="8" width="11.53125" style="1" customWidth="1"/>
    <col min="9" max="9" width="19.33203125" style="1" customWidth="1"/>
    <col min="10" max="10" width="9.19921875" style="1" customWidth="1"/>
    <col min="11" max="12" width="14.33203125" style="1" hidden="1" customWidth="1"/>
    <col min="13" max="13" width="14.33203125" style="1" customWidth="1"/>
    <col min="14" max="14" width="11.46484375" style="1"/>
    <col min="15" max="15" width="11.46484375" style="641"/>
    <col min="16" max="16384" width="11.46484375" style="1"/>
  </cols>
  <sheetData>
    <row r="1" spans="1:15" ht="14.65" thickBot="1">
      <c r="A1" s="182" t="s">
        <v>164</v>
      </c>
      <c r="B1" s="102"/>
      <c r="C1" s="102"/>
      <c r="D1" s="183" t="s">
        <v>417</v>
      </c>
      <c r="E1" s="102"/>
      <c r="F1" s="102"/>
      <c r="G1" s="102"/>
      <c r="H1" s="575"/>
      <c r="I1" s="576"/>
      <c r="J1" s="576"/>
      <c r="K1" s="576"/>
      <c r="L1" s="576"/>
      <c r="M1" s="577"/>
      <c r="N1" s="102"/>
    </row>
    <row r="2" spans="1:15" ht="15" customHeight="1" thickBot="1">
      <c r="A2" s="102"/>
      <c r="B2" s="102"/>
      <c r="C2" s="102"/>
      <c r="D2" s="102"/>
      <c r="E2" s="102"/>
      <c r="G2" s="102"/>
      <c r="H2" s="2314" t="s">
        <v>1052</v>
      </c>
      <c r="I2" s="2315"/>
      <c r="J2" s="2315"/>
      <c r="K2" s="581">
        <f>+D6</f>
        <v>45657</v>
      </c>
      <c r="L2" s="581">
        <f>+E6</f>
        <v>45291</v>
      </c>
      <c r="M2" s="581">
        <v>45291</v>
      </c>
      <c r="N2" s="102"/>
    </row>
    <row r="3" spans="1:15">
      <c r="A3" s="102"/>
      <c r="B3" s="102"/>
      <c r="C3" s="102"/>
      <c r="D3" s="102"/>
      <c r="E3" s="102"/>
      <c r="G3" s="102"/>
      <c r="H3" s="578"/>
      <c r="I3" s="102"/>
      <c r="J3" s="102"/>
      <c r="K3" s="623"/>
      <c r="L3" s="623"/>
      <c r="M3" s="623"/>
      <c r="N3" s="102"/>
      <c r="O3" s="1489"/>
    </row>
    <row r="4" spans="1:15">
      <c r="A4" s="102"/>
      <c r="B4" s="1266"/>
      <c r="C4" s="1219"/>
      <c r="D4" s="1219" t="s">
        <v>125</v>
      </c>
      <c r="E4" s="1219" t="s">
        <v>125</v>
      </c>
      <c r="F4" s="1219" t="s">
        <v>125</v>
      </c>
      <c r="G4" s="102"/>
      <c r="H4" s="578"/>
      <c r="I4" s="102"/>
      <c r="J4" s="102"/>
      <c r="K4" s="623"/>
      <c r="L4" s="623"/>
      <c r="M4" s="623"/>
      <c r="N4" s="102"/>
      <c r="O4" s="1489"/>
    </row>
    <row r="5" spans="1:15">
      <c r="A5" s="102"/>
      <c r="B5" s="1267" t="s">
        <v>123</v>
      </c>
      <c r="C5" s="1268" t="s">
        <v>131</v>
      </c>
      <c r="D5" s="1268" t="s">
        <v>124</v>
      </c>
      <c r="E5" s="1268" t="s">
        <v>126</v>
      </c>
      <c r="F5" s="1268" t="s">
        <v>126</v>
      </c>
      <c r="G5" s="102"/>
      <c r="H5" s="578"/>
      <c r="I5" s="102"/>
      <c r="J5" s="102"/>
      <c r="K5" s="623"/>
      <c r="L5" s="623"/>
      <c r="M5" s="623"/>
      <c r="N5" s="102"/>
      <c r="O5" s="1489"/>
    </row>
    <row r="6" spans="1:15">
      <c r="A6" s="102"/>
      <c r="B6" s="1267"/>
      <c r="C6" s="1268"/>
      <c r="D6" s="1269">
        <f>+Datos!D6</f>
        <v>45657</v>
      </c>
      <c r="E6" s="1269">
        <f>+Datos!E6</f>
        <v>45291</v>
      </c>
      <c r="F6" s="1269">
        <f>+Datos!F6</f>
        <v>44927</v>
      </c>
      <c r="G6" s="102"/>
      <c r="H6" s="578"/>
      <c r="K6" s="623"/>
      <c r="L6" s="591"/>
      <c r="M6" s="623"/>
      <c r="N6" s="102"/>
      <c r="O6" s="1489"/>
    </row>
    <row r="7" spans="1:15">
      <c r="A7" s="102"/>
      <c r="B7" s="1270"/>
      <c r="C7" s="1221"/>
      <c r="D7" s="1221" t="s">
        <v>20</v>
      </c>
      <c r="E7" s="1221" t="s">
        <v>20</v>
      </c>
      <c r="F7" s="1221" t="s">
        <v>20</v>
      </c>
      <c r="G7" s="102"/>
      <c r="H7" s="578"/>
      <c r="I7" s="102"/>
      <c r="J7" s="102"/>
      <c r="K7" s="623"/>
      <c r="L7" s="623"/>
      <c r="M7" s="623"/>
      <c r="N7" s="102"/>
      <c r="O7" s="1489"/>
    </row>
    <row r="8" spans="1:15">
      <c r="A8" s="102"/>
      <c r="B8" s="102"/>
      <c r="C8" s="102"/>
      <c r="D8" s="301"/>
      <c r="E8" s="301"/>
      <c r="F8" s="301"/>
      <c r="G8" s="102"/>
      <c r="H8" s="578"/>
      <c r="I8" s="102"/>
      <c r="J8" s="102"/>
      <c r="K8" s="623"/>
      <c r="L8" s="623"/>
      <c r="M8" s="623"/>
      <c r="N8" s="102"/>
      <c r="O8" s="1489"/>
    </row>
    <row r="9" spans="1:15">
      <c r="A9" s="102"/>
      <c r="B9" s="102" t="s">
        <v>128</v>
      </c>
      <c r="C9" s="102" t="s">
        <v>133</v>
      </c>
      <c r="D9" s="293"/>
      <c r="E9" s="293"/>
      <c r="F9" s="293">
        <f>+M3</f>
        <v>0</v>
      </c>
      <c r="G9" s="102"/>
      <c r="H9" s="578"/>
      <c r="I9" s="102"/>
      <c r="J9" s="102"/>
      <c r="K9" s="623"/>
      <c r="L9" s="623"/>
      <c r="M9" s="623"/>
      <c r="N9" s="102"/>
      <c r="O9" s="1489"/>
    </row>
    <row r="10" spans="1:15">
      <c r="A10" s="102"/>
      <c r="B10" s="102"/>
      <c r="C10" s="102" t="s">
        <v>135</v>
      </c>
      <c r="D10" s="293"/>
      <c r="E10" s="293"/>
      <c r="F10" s="293">
        <f>+O5</f>
        <v>0</v>
      </c>
      <c r="G10" s="102"/>
      <c r="H10" s="578"/>
      <c r="I10" s="102"/>
      <c r="J10" s="102"/>
      <c r="K10" s="623"/>
      <c r="L10" s="623"/>
      <c r="M10" s="623"/>
      <c r="N10" s="102"/>
      <c r="O10" s="1489"/>
    </row>
    <row r="11" spans="1:15">
      <c r="A11" s="102"/>
      <c r="B11" s="102"/>
      <c r="C11" s="102" t="s">
        <v>1038</v>
      </c>
      <c r="D11" s="293"/>
      <c r="E11" s="293"/>
      <c r="F11" s="293">
        <f>+O4</f>
        <v>0</v>
      </c>
      <c r="G11" s="102"/>
      <c r="H11" s="578"/>
      <c r="I11" s="102"/>
      <c r="J11" s="102"/>
      <c r="K11" s="623"/>
      <c r="L11" s="623"/>
      <c r="M11" s="623"/>
      <c r="N11" s="102"/>
      <c r="O11" s="1489"/>
    </row>
    <row r="12" spans="1:15" ht="13.5" thickBot="1">
      <c r="A12" s="102"/>
      <c r="B12" s="102" t="s">
        <v>129</v>
      </c>
      <c r="C12" s="102" t="s">
        <v>133</v>
      </c>
      <c r="D12" s="293"/>
      <c r="E12" s="293"/>
      <c r="F12" s="293">
        <f>+M6+M8+M9</f>
        <v>0</v>
      </c>
      <c r="G12" s="102"/>
      <c r="H12" s="1019"/>
      <c r="I12" s="1020"/>
      <c r="J12" s="1020"/>
      <c r="K12" s="1021"/>
      <c r="L12" s="1021"/>
      <c r="M12" s="603"/>
      <c r="N12" s="102"/>
    </row>
    <row r="13" spans="1:15" ht="13.5" thickBot="1">
      <c r="A13" s="102"/>
      <c r="B13" s="102"/>
      <c r="C13" s="102" t="s">
        <v>135</v>
      </c>
      <c r="D13" s="293"/>
      <c r="E13" s="293"/>
      <c r="F13" s="293"/>
      <c r="G13" s="102"/>
      <c r="H13" s="570"/>
      <c r="I13" s="571"/>
      <c r="J13" s="571"/>
      <c r="K13" s="642">
        <f>SUM(K3:K12)</f>
        <v>0</v>
      </c>
      <c r="L13" s="642">
        <f t="shared" ref="L13:M13" si="0">SUM(L3:L12)</f>
        <v>0</v>
      </c>
      <c r="M13" s="642">
        <f t="shared" si="0"/>
        <v>0</v>
      </c>
      <c r="N13" s="102"/>
    </row>
    <row r="14" spans="1:15">
      <c r="A14" s="102"/>
      <c r="B14" s="102"/>
      <c r="C14" s="102" t="s">
        <v>847</v>
      </c>
      <c r="D14" s="293"/>
      <c r="E14" s="293"/>
      <c r="F14" s="293">
        <f>+M7</f>
        <v>0</v>
      </c>
      <c r="G14" s="102"/>
      <c r="H14" s="102"/>
      <c r="I14" s="102"/>
      <c r="J14" s="102"/>
      <c r="K14" s="649"/>
      <c r="L14" s="649"/>
      <c r="M14" s="628"/>
      <c r="N14" s="102"/>
    </row>
    <row r="15" spans="1:15">
      <c r="A15" s="102"/>
      <c r="B15" s="102" t="s">
        <v>130</v>
      </c>
      <c r="C15" s="102" t="s">
        <v>133</v>
      </c>
      <c r="D15" s="293"/>
      <c r="E15" s="293"/>
      <c r="F15" s="293">
        <f>+M10</f>
        <v>0</v>
      </c>
      <c r="G15" s="102"/>
      <c r="H15" s="102"/>
      <c r="K15" s="628"/>
      <c r="N15" s="102"/>
    </row>
    <row r="16" spans="1:15">
      <c r="A16" s="102"/>
      <c r="B16" s="102"/>
      <c r="C16" s="102" t="s">
        <v>135</v>
      </c>
      <c r="D16" s="293"/>
      <c r="E16" s="293"/>
      <c r="F16" s="293"/>
      <c r="G16" s="102"/>
      <c r="N16" s="102"/>
    </row>
    <row r="17" spans="1:14">
      <c r="A17" s="102"/>
      <c r="B17" s="102"/>
      <c r="C17" s="102" t="s">
        <v>435</v>
      </c>
      <c r="D17" s="293"/>
      <c r="E17" s="293"/>
      <c r="F17" s="293"/>
      <c r="G17" s="102"/>
      <c r="H17" s="102"/>
      <c r="I17" s="102"/>
      <c r="J17" s="102"/>
      <c r="K17" s="102"/>
      <c r="L17" s="102"/>
      <c r="M17" s="102"/>
      <c r="N17" s="102"/>
    </row>
    <row r="18" spans="1:14">
      <c r="A18" s="102"/>
      <c r="B18" s="102" t="s">
        <v>920</v>
      </c>
      <c r="C18" s="102" t="s">
        <v>133</v>
      </c>
      <c r="D18" s="293"/>
      <c r="E18" s="293"/>
      <c r="F18" s="293">
        <f>+M5</f>
        <v>0</v>
      </c>
      <c r="G18" s="102"/>
      <c r="H18" s="102"/>
      <c r="I18" s="102"/>
      <c r="J18" s="102"/>
      <c r="K18" s="102"/>
      <c r="L18" s="102"/>
      <c r="M18" s="184" t="s">
        <v>133</v>
      </c>
      <c r="N18" s="102"/>
    </row>
    <row r="19" spans="1:14">
      <c r="A19" s="102"/>
      <c r="B19" s="102"/>
      <c r="C19" s="102" t="s">
        <v>135</v>
      </c>
      <c r="D19" s="293"/>
      <c r="E19" s="293"/>
      <c r="F19" s="293"/>
      <c r="G19" s="102"/>
      <c r="H19" s="102"/>
      <c r="I19" s="102"/>
      <c r="J19" s="102"/>
      <c r="K19" s="102"/>
      <c r="L19" s="102"/>
      <c r="M19" s="184" t="s">
        <v>134</v>
      </c>
      <c r="N19" s="102"/>
    </row>
    <row r="20" spans="1:14">
      <c r="A20" s="102"/>
      <c r="B20" s="102"/>
      <c r="C20" s="102" t="s">
        <v>435</v>
      </c>
      <c r="D20" s="293"/>
      <c r="E20" s="293"/>
      <c r="F20" s="293"/>
      <c r="G20" s="102"/>
      <c r="H20" s="102"/>
      <c r="I20" s="102"/>
      <c r="J20" s="102"/>
      <c r="K20" s="102"/>
      <c r="L20" s="102"/>
      <c r="M20" s="184" t="s">
        <v>135</v>
      </c>
      <c r="N20" s="102"/>
    </row>
    <row r="21" spans="1:14">
      <c r="A21" s="102"/>
      <c r="B21" s="1242" t="s">
        <v>109</v>
      </c>
      <c r="C21" s="1224"/>
      <c r="D21" s="1259">
        <f>+SUM(D9:D20)</f>
        <v>0</v>
      </c>
      <c r="E21" s="1259">
        <f t="shared" ref="E21" si="1">+SUM(E9:E20)</f>
        <v>0</v>
      </c>
      <c r="F21" s="1259">
        <f>+SUM(F9:F20)</f>
        <v>0</v>
      </c>
      <c r="G21" s="102"/>
      <c r="H21" s="102"/>
      <c r="I21" s="102"/>
      <c r="J21" s="102"/>
      <c r="K21" s="102"/>
      <c r="L21" s="102"/>
      <c r="M21" s="184" t="s">
        <v>637</v>
      </c>
      <c r="N21" s="102"/>
    </row>
    <row r="22" spans="1:14">
      <c r="A22" s="102"/>
      <c r="B22" s="102"/>
      <c r="C22" s="102"/>
      <c r="D22" s="301"/>
      <c r="E22" s="301"/>
      <c r="F22" s="301"/>
      <c r="G22" s="102"/>
      <c r="H22" s="102"/>
      <c r="I22" s="102"/>
      <c r="J22" s="102"/>
      <c r="K22" s="102"/>
      <c r="L22" s="102"/>
      <c r="M22" s="102"/>
      <c r="N22" s="102"/>
    </row>
    <row r="23" spans="1:14">
      <c r="A23" s="102"/>
      <c r="B23" s="106" t="s">
        <v>201</v>
      </c>
      <c r="C23" s="149"/>
      <c r="D23" s="302">
        <f>+D21-'Est Situacion'!G9</f>
        <v>0</v>
      </c>
      <c r="E23" s="302">
        <f>+E21-'Est Situacion'!H9</f>
        <v>0</v>
      </c>
      <c r="F23" s="302">
        <f>+F21-'Est Situacion'!I9</f>
        <v>-307800</v>
      </c>
      <c r="G23" s="102"/>
      <c r="H23" s="102"/>
      <c r="I23" s="102"/>
      <c r="J23" s="102"/>
      <c r="K23" s="102"/>
      <c r="L23" s="102"/>
      <c r="M23" s="102"/>
      <c r="N23" s="102"/>
    </row>
    <row r="24" spans="1:14">
      <c r="A24" s="102"/>
      <c r="B24" s="102"/>
      <c r="C24" s="102"/>
      <c r="D24" s="102"/>
      <c r="E24" s="102"/>
      <c r="G24" s="102"/>
      <c r="H24" s="102"/>
      <c r="I24" s="102"/>
      <c r="J24" s="102"/>
      <c r="K24" s="102"/>
      <c r="L24" s="102"/>
      <c r="M24" s="102"/>
      <c r="N24" s="102"/>
    </row>
    <row r="25" spans="1:14">
      <c r="A25" s="102"/>
      <c r="B25" s="103" t="s">
        <v>142</v>
      </c>
      <c r="C25" s="102"/>
      <c r="D25" s="102"/>
      <c r="E25" s="102"/>
      <c r="F25" s="102"/>
      <c r="G25" s="102"/>
      <c r="H25" s="102"/>
      <c r="I25" s="102"/>
      <c r="J25" s="102"/>
      <c r="K25" s="102"/>
      <c r="L25" s="102"/>
      <c r="M25" s="102"/>
      <c r="N25" s="102"/>
    </row>
    <row r="26" spans="1:14" outlineLevel="1">
      <c r="A26" s="102"/>
      <c r="B26" s="102"/>
      <c r="C26" s="102"/>
      <c r="D26" s="102"/>
      <c r="E26" s="102"/>
      <c r="F26" s="102"/>
      <c r="G26" s="102"/>
      <c r="H26" s="102"/>
      <c r="I26" s="102"/>
      <c r="J26" s="102"/>
      <c r="K26" s="102"/>
      <c r="L26" s="102"/>
      <c r="M26" s="102"/>
      <c r="N26" s="102"/>
    </row>
    <row r="27" spans="1:14" ht="39.4" outlineLevel="1">
      <c r="A27" s="102"/>
      <c r="B27" s="1037" t="s">
        <v>638</v>
      </c>
      <c r="C27" s="1038" t="s">
        <v>131</v>
      </c>
      <c r="D27" s="1038" t="s">
        <v>136</v>
      </c>
      <c r="E27" s="1038" t="s">
        <v>137</v>
      </c>
      <c r="F27" s="1038" t="s">
        <v>138</v>
      </c>
      <c r="G27" s="1038" t="s">
        <v>139</v>
      </c>
      <c r="H27" s="1038" t="s">
        <v>140</v>
      </c>
      <c r="I27" s="1039" t="s">
        <v>141</v>
      </c>
      <c r="J27" s="103" t="s">
        <v>289</v>
      </c>
      <c r="K27" s="103"/>
      <c r="L27" s="103"/>
      <c r="M27" s="102"/>
      <c r="N27" s="102"/>
    </row>
    <row r="28" spans="1:14" outlineLevel="1">
      <c r="A28" s="102"/>
      <c r="B28" s="1040"/>
      <c r="C28" s="1041"/>
      <c r="D28" s="1041"/>
      <c r="E28" s="1041"/>
      <c r="F28" s="1041"/>
      <c r="G28" s="1041"/>
      <c r="H28" s="1041"/>
      <c r="I28" s="1042">
        <f>+Datos!D6</f>
        <v>45657</v>
      </c>
      <c r="J28" s="102"/>
      <c r="K28" s="102"/>
      <c r="L28" s="102"/>
      <c r="M28" s="102"/>
      <c r="N28" s="102"/>
    </row>
    <row r="29" spans="1:14" outlineLevel="1">
      <c r="A29" s="102"/>
      <c r="B29" s="1036"/>
      <c r="C29" s="1026"/>
      <c r="D29" s="1026"/>
      <c r="E29" s="1026"/>
      <c r="F29" s="1026"/>
      <c r="G29" s="1026" t="s">
        <v>20</v>
      </c>
      <c r="H29" s="1026" t="s">
        <v>20</v>
      </c>
      <c r="I29" s="1043" t="s">
        <v>20</v>
      </c>
      <c r="J29" s="102"/>
      <c r="K29" s="102"/>
      <c r="L29" s="102"/>
      <c r="M29" s="102"/>
      <c r="N29" s="102"/>
    </row>
    <row r="30" spans="1:14" outlineLevel="1">
      <c r="A30" s="102"/>
      <c r="B30" s="124"/>
      <c r="C30" s="124" t="s">
        <v>133</v>
      </c>
      <c r="D30" s="293"/>
      <c r="E30" s="509"/>
      <c r="F30" s="124"/>
      <c r="G30" s="293"/>
      <c r="H30" s="293"/>
      <c r="I30" s="301">
        <f>+G30+H30</f>
        <v>0</v>
      </c>
      <c r="J30" s="102"/>
      <c r="K30" s="102"/>
      <c r="L30" s="102"/>
      <c r="M30" s="102"/>
      <c r="N30" s="102"/>
    </row>
    <row r="31" spans="1:14" outlineLevel="1">
      <c r="A31" s="102"/>
      <c r="B31" s="124"/>
      <c r="C31" s="124" t="s">
        <v>133</v>
      </c>
      <c r="D31" s="340"/>
      <c r="E31" s="510"/>
      <c r="F31" s="185"/>
      <c r="G31" s="293"/>
      <c r="H31" s="293"/>
      <c r="I31" s="301">
        <f>+G31+H31</f>
        <v>0</v>
      </c>
      <c r="J31" s="102"/>
      <c r="K31" s="102"/>
      <c r="L31" s="102"/>
      <c r="M31" s="102"/>
      <c r="N31" s="102"/>
    </row>
    <row r="32" spans="1:14" outlineLevel="1">
      <c r="A32" s="102"/>
      <c r="B32" s="124"/>
      <c r="C32" s="124"/>
      <c r="D32" s="340"/>
      <c r="E32" s="510"/>
      <c r="F32" s="185"/>
      <c r="G32" s="293"/>
      <c r="H32" s="293"/>
      <c r="I32" s="301">
        <f t="shared" ref="I32:I34" si="2">+G32+H32</f>
        <v>0</v>
      </c>
      <c r="J32" s="102"/>
      <c r="K32" s="102"/>
      <c r="L32" s="102"/>
      <c r="M32" s="102"/>
      <c r="N32" s="102"/>
    </row>
    <row r="33" spans="1:14" outlineLevel="1">
      <c r="A33" s="102"/>
      <c r="B33" s="124"/>
      <c r="C33" s="124"/>
      <c r="D33" s="340"/>
      <c r="E33" s="510"/>
      <c r="F33" s="185"/>
      <c r="G33" s="293"/>
      <c r="H33" s="293"/>
      <c r="I33" s="301">
        <f t="shared" si="2"/>
        <v>0</v>
      </c>
      <c r="J33" s="102"/>
      <c r="K33" s="102"/>
      <c r="L33" s="102"/>
      <c r="M33" s="102"/>
      <c r="N33" s="102"/>
    </row>
    <row r="34" spans="1:14" outlineLevel="1">
      <c r="A34" s="102"/>
      <c r="B34" s="124"/>
      <c r="C34" s="124"/>
      <c r="D34" s="293"/>
      <c r="E34" s="509"/>
      <c r="F34" s="124"/>
      <c r="G34" s="293"/>
      <c r="H34" s="293"/>
      <c r="I34" s="301">
        <f t="shared" si="2"/>
        <v>0</v>
      </c>
      <c r="J34" s="102"/>
      <c r="K34" s="102"/>
      <c r="L34" s="102"/>
      <c r="M34" s="102"/>
      <c r="N34" s="102"/>
    </row>
    <row r="35" spans="1:14" outlineLevel="1">
      <c r="A35" s="102"/>
      <c r="B35" s="1028" t="s">
        <v>109</v>
      </c>
      <c r="C35" s="1027"/>
      <c r="D35" s="643"/>
      <c r="E35" s="1027"/>
      <c r="F35" s="1027"/>
      <c r="G35" s="643">
        <f>+SUM(G30:G34)</f>
        <v>0</v>
      </c>
      <c r="H35" s="643">
        <f>+SUM(H30:H34)</f>
        <v>0</v>
      </c>
      <c r="I35" s="1044">
        <f>+SUM(I30:I34)</f>
        <v>0</v>
      </c>
      <c r="J35" s="102">
        <f>+I35-D15</f>
        <v>0</v>
      </c>
      <c r="K35" s="102"/>
      <c r="L35" s="102"/>
      <c r="M35" s="102"/>
      <c r="N35" s="102"/>
    </row>
    <row r="36" spans="1:14" outlineLevel="1">
      <c r="A36" s="102"/>
      <c r="B36" s="102"/>
      <c r="C36" s="102"/>
      <c r="D36" s="102"/>
      <c r="E36" s="102"/>
      <c r="F36" s="102"/>
      <c r="G36" s="102"/>
      <c r="H36" s="102"/>
      <c r="I36" s="102"/>
      <c r="J36" s="102"/>
      <c r="K36" s="102"/>
      <c r="L36" s="102"/>
      <c r="M36" s="102"/>
      <c r="N36" s="102"/>
    </row>
    <row r="37" spans="1:14" outlineLevel="1">
      <c r="A37" s="102"/>
      <c r="B37" s="102"/>
      <c r="C37" s="102"/>
      <c r="D37" s="102"/>
      <c r="E37" s="102"/>
      <c r="F37" s="102"/>
      <c r="G37" s="102"/>
      <c r="H37" s="102"/>
      <c r="I37" s="102"/>
      <c r="J37" s="102"/>
      <c r="K37" s="102"/>
      <c r="L37" s="102"/>
      <c r="M37" s="102"/>
      <c r="N37" s="102"/>
    </row>
    <row r="38" spans="1:14" ht="39.4" outlineLevel="1">
      <c r="A38" s="102"/>
      <c r="B38" s="1037" t="s">
        <v>638</v>
      </c>
      <c r="C38" s="1038" t="s">
        <v>131</v>
      </c>
      <c r="D38" s="1038" t="s">
        <v>136</v>
      </c>
      <c r="E38" s="1038" t="s">
        <v>137</v>
      </c>
      <c r="F38" s="1038" t="s">
        <v>138</v>
      </c>
      <c r="G38" s="1038" t="s">
        <v>139</v>
      </c>
      <c r="H38" s="1038" t="s">
        <v>140</v>
      </c>
      <c r="I38" s="1039" t="s">
        <v>141</v>
      </c>
      <c r="J38" s="102"/>
      <c r="K38" s="102"/>
      <c r="L38" s="102"/>
      <c r="M38" s="102"/>
      <c r="N38" s="102"/>
    </row>
    <row r="39" spans="1:14" outlineLevel="1">
      <c r="A39" s="102"/>
      <c r="B39" s="1040"/>
      <c r="C39" s="1041"/>
      <c r="D39" s="1041"/>
      <c r="E39" s="1041"/>
      <c r="F39" s="1041"/>
      <c r="G39" s="1041"/>
      <c r="H39" s="1041"/>
      <c r="I39" s="1042">
        <f>+Datos!E6</f>
        <v>45291</v>
      </c>
      <c r="J39" s="102"/>
      <c r="K39" s="102"/>
      <c r="L39" s="102"/>
      <c r="M39" s="102"/>
      <c r="N39" s="102"/>
    </row>
    <row r="40" spans="1:14" outlineLevel="1">
      <c r="A40" s="102"/>
      <c r="B40" s="1036"/>
      <c r="C40" s="1026"/>
      <c r="D40" s="1045"/>
      <c r="E40" s="1026"/>
      <c r="F40" s="1026"/>
      <c r="G40" s="1026" t="s">
        <v>20</v>
      </c>
      <c r="H40" s="1026" t="s">
        <v>20</v>
      </c>
      <c r="I40" s="1043" t="s">
        <v>20</v>
      </c>
      <c r="J40" s="102"/>
      <c r="K40" s="102"/>
      <c r="L40" s="102"/>
      <c r="M40" s="102"/>
      <c r="N40" s="102"/>
    </row>
    <row r="41" spans="1:14" outlineLevel="1">
      <c r="A41" s="102"/>
      <c r="B41" s="124"/>
      <c r="C41" s="124" t="s">
        <v>637</v>
      </c>
      <c r="D41" s="293"/>
      <c r="E41" s="509"/>
      <c r="F41" s="124"/>
      <c r="G41" s="293"/>
      <c r="H41" s="293"/>
      <c r="I41" s="301">
        <f>+G41+H41</f>
        <v>0</v>
      </c>
      <c r="J41" s="102"/>
      <c r="K41" s="102"/>
      <c r="L41" s="102"/>
      <c r="M41" s="102"/>
      <c r="N41" s="102"/>
    </row>
    <row r="42" spans="1:14" outlineLevel="1">
      <c r="A42" s="102"/>
      <c r="B42" s="124"/>
      <c r="C42" s="124" t="s">
        <v>637</v>
      </c>
      <c r="D42" s="340"/>
      <c r="E42" s="510"/>
      <c r="F42" s="185"/>
      <c r="G42" s="293"/>
      <c r="H42" s="293"/>
      <c r="I42" s="301">
        <f>+G42+H42</f>
        <v>0</v>
      </c>
      <c r="J42" s="102"/>
      <c r="K42" s="102"/>
      <c r="L42" s="102"/>
      <c r="M42" s="102"/>
      <c r="N42" s="102"/>
    </row>
    <row r="43" spans="1:14" outlineLevel="1">
      <c r="A43" s="102"/>
      <c r="B43" s="124"/>
      <c r="C43" s="124" t="s">
        <v>637</v>
      </c>
      <c r="D43" s="340"/>
      <c r="E43" s="510"/>
      <c r="F43" s="185"/>
      <c r="G43" s="293"/>
      <c r="H43" s="293"/>
      <c r="I43" s="301">
        <f t="shared" ref="I43:I45" si="3">+G43+H43</f>
        <v>0</v>
      </c>
      <c r="J43" s="102"/>
      <c r="K43" s="102"/>
      <c r="L43" s="102"/>
      <c r="M43" s="102"/>
      <c r="N43" s="102"/>
    </row>
    <row r="44" spans="1:14" outlineLevel="1">
      <c r="A44" s="102"/>
      <c r="B44" s="124"/>
      <c r="C44" s="124" t="s">
        <v>637</v>
      </c>
      <c r="D44" s="340"/>
      <c r="E44" s="510"/>
      <c r="F44" s="185"/>
      <c r="G44" s="293"/>
      <c r="H44" s="293"/>
      <c r="I44" s="301">
        <f t="shared" si="3"/>
        <v>0</v>
      </c>
      <c r="J44" s="102"/>
      <c r="K44" s="102"/>
      <c r="L44" s="102"/>
      <c r="M44" s="102"/>
      <c r="N44" s="102"/>
    </row>
    <row r="45" spans="1:14" outlineLevel="1">
      <c r="A45" s="102"/>
      <c r="B45" s="124"/>
      <c r="C45" s="124" t="s">
        <v>637</v>
      </c>
      <c r="D45" s="293"/>
      <c r="E45" s="509"/>
      <c r="F45" s="124"/>
      <c r="G45" s="293"/>
      <c r="H45" s="293"/>
      <c r="I45" s="301">
        <f t="shared" si="3"/>
        <v>0</v>
      </c>
      <c r="J45" s="102"/>
      <c r="K45" s="102"/>
      <c r="L45" s="102"/>
      <c r="M45" s="102"/>
      <c r="N45" s="102"/>
    </row>
    <row r="46" spans="1:14" outlineLevel="1">
      <c r="A46" s="102"/>
      <c r="B46" s="1028" t="s">
        <v>109</v>
      </c>
      <c r="C46" s="1027"/>
      <c r="D46" s="1027"/>
      <c r="E46" s="1027"/>
      <c r="F46" s="1027"/>
      <c r="G46" s="643">
        <f>+SUM(G41:G45)</f>
        <v>0</v>
      </c>
      <c r="H46" s="643">
        <f t="shared" ref="H46" si="4">+SUM(H41:H45)</f>
        <v>0</v>
      </c>
      <c r="I46" s="1044">
        <f t="shared" ref="I46" si="5">+SUM(I41:I45)</f>
        <v>0</v>
      </c>
      <c r="J46" s="102">
        <f>+I46-E15</f>
        <v>0</v>
      </c>
      <c r="K46" s="102"/>
      <c r="L46" s="102"/>
      <c r="M46" s="102"/>
      <c r="N46" s="102"/>
    </row>
    <row r="47" spans="1:14" outlineLevel="1">
      <c r="A47" s="102"/>
      <c r="B47" s="102"/>
      <c r="C47" s="102"/>
      <c r="D47" s="102"/>
      <c r="E47" s="102"/>
      <c r="F47" s="102"/>
      <c r="G47" s="102"/>
      <c r="H47" s="102"/>
      <c r="I47" s="102"/>
      <c r="J47" s="102"/>
      <c r="K47" s="102"/>
      <c r="L47" s="102"/>
      <c r="M47" s="102"/>
      <c r="N47" s="102"/>
    </row>
    <row r="48" spans="1:14" outlineLevel="1">
      <c r="A48" s="102"/>
      <c r="B48" s="102"/>
      <c r="C48" s="102"/>
      <c r="D48" s="102"/>
      <c r="E48" s="102"/>
      <c r="F48" s="102"/>
      <c r="G48" s="102"/>
      <c r="H48" s="102"/>
      <c r="I48" s="102"/>
      <c r="J48" s="102"/>
      <c r="K48" s="102"/>
      <c r="L48" s="102"/>
      <c r="M48" s="102"/>
      <c r="N48" s="102"/>
    </row>
    <row r="49" spans="1:14" ht="39.4" outlineLevel="1">
      <c r="A49" s="102"/>
      <c r="B49" s="1037" t="s">
        <v>132</v>
      </c>
      <c r="C49" s="1038" t="s">
        <v>131</v>
      </c>
      <c r="D49" s="1038" t="s">
        <v>136</v>
      </c>
      <c r="E49" s="1038" t="s">
        <v>137</v>
      </c>
      <c r="F49" s="1038" t="s">
        <v>138</v>
      </c>
      <c r="G49" s="1038" t="s">
        <v>139</v>
      </c>
      <c r="H49" s="1038" t="s">
        <v>140</v>
      </c>
      <c r="I49" s="1039" t="s">
        <v>141</v>
      </c>
      <c r="J49" s="102"/>
      <c r="K49" s="102"/>
      <c r="L49" s="102"/>
      <c r="M49" s="102"/>
      <c r="N49" s="102"/>
    </row>
    <row r="50" spans="1:14" outlineLevel="1">
      <c r="A50" s="102"/>
      <c r="B50" s="1040"/>
      <c r="C50" s="1041"/>
      <c r="D50" s="1041"/>
      <c r="E50" s="1041"/>
      <c r="F50" s="1041"/>
      <c r="G50" s="1041"/>
      <c r="H50" s="1041"/>
      <c r="I50" s="1042">
        <f>+Datos!F6</f>
        <v>44927</v>
      </c>
      <c r="J50" s="102"/>
      <c r="K50" s="102"/>
      <c r="L50" s="102"/>
      <c r="M50" s="102"/>
      <c r="N50" s="102"/>
    </row>
    <row r="51" spans="1:14" outlineLevel="1">
      <c r="A51" s="102"/>
      <c r="B51" s="1036"/>
      <c r="C51" s="1026"/>
      <c r="D51" s="1026"/>
      <c r="E51" s="1026"/>
      <c r="F51" s="1026"/>
      <c r="G51" s="1026" t="s">
        <v>20</v>
      </c>
      <c r="H51" s="1026" t="s">
        <v>20</v>
      </c>
      <c r="I51" s="1043" t="s">
        <v>20</v>
      </c>
      <c r="J51" s="102"/>
      <c r="K51" s="102"/>
      <c r="L51" s="102"/>
      <c r="M51" s="102"/>
      <c r="N51" s="102"/>
    </row>
    <row r="52" spans="1:14" outlineLevel="1">
      <c r="A52" s="102"/>
      <c r="B52" s="124" t="str">
        <f>+'02 Efectivo'!B45</f>
        <v>Banco BCI 30 días</v>
      </c>
      <c r="C52" s="124" t="s">
        <v>133</v>
      </c>
      <c r="D52" s="293">
        <f>+'02 Efectivo'!D45/1000</f>
        <v>70000</v>
      </c>
      <c r="E52" s="509">
        <f>+'02 Efectivo'!G45</f>
        <v>0.08</v>
      </c>
      <c r="F52" s="124" t="e">
        <f>+'02 Efectivo'!#REF!</f>
        <v>#REF!</v>
      </c>
      <c r="G52" s="293">
        <f>+D52</f>
        <v>70000</v>
      </c>
      <c r="H52" s="293">
        <f>ROUND(+'02 Efectivo'!G55/1000,0)</f>
        <v>0</v>
      </c>
      <c r="I52" s="301">
        <f t="shared" ref="I52:I56" si="6">+G52+H52</f>
        <v>70000</v>
      </c>
      <c r="J52" s="102"/>
      <c r="K52" s="102"/>
      <c r="L52" s="102"/>
      <c r="M52" s="102"/>
      <c r="N52" s="102"/>
    </row>
    <row r="53" spans="1:14" outlineLevel="1">
      <c r="A53" s="102"/>
      <c r="B53" s="124" t="str">
        <f>+'02 Efectivo'!B46</f>
        <v>Banco Santander 30 días</v>
      </c>
      <c r="C53" s="124" t="s">
        <v>133</v>
      </c>
      <c r="D53" s="293">
        <f>+'02 Efectivo'!D46/1000</f>
        <v>50000</v>
      </c>
      <c r="E53" s="509">
        <f>+'02 Efectivo'!G46</f>
        <v>0.12</v>
      </c>
      <c r="F53" s="124" t="e">
        <f>+'02 Efectivo'!#REF!</f>
        <v>#REF!</v>
      </c>
      <c r="G53" s="293">
        <f>+D53</f>
        <v>50000</v>
      </c>
      <c r="H53" s="293">
        <f>ROUND(+'02 Efectivo'!G56/1000,0)</f>
        <v>0</v>
      </c>
      <c r="I53" s="301">
        <f>+G53+H53</f>
        <v>50000</v>
      </c>
      <c r="J53" s="102"/>
      <c r="K53" s="102"/>
      <c r="L53" s="102"/>
      <c r="M53" s="102"/>
      <c r="N53" s="102"/>
    </row>
    <row r="54" spans="1:14" outlineLevel="1">
      <c r="A54" s="102"/>
      <c r="B54" s="124"/>
      <c r="C54" s="124" t="s">
        <v>637</v>
      </c>
      <c r="D54" s="340"/>
      <c r="E54" s="510"/>
      <c r="F54" s="185"/>
      <c r="G54" s="293"/>
      <c r="H54" s="293"/>
      <c r="I54" s="301">
        <f t="shared" si="6"/>
        <v>0</v>
      </c>
      <c r="J54" s="102"/>
      <c r="K54" s="102"/>
      <c r="L54" s="102"/>
      <c r="M54" s="102"/>
      <c r="N54" s="102"/>
    </row>
    <row r="55" spans="1:14" outlineLevel="1">
      <c r="A55" s="102"/>
      <c r="B55" s="124"/>
      <c r="C55" s="124" t="s">
        <v>637</v>
      </c>
      <c r="D55" s="340"/>
      <c r="E55" s="510"/>
      <c r="F55" s="185"/>
      <c r="G55" s="293"/>
      <c r="H55" s="293"/>
      <c r="I55" s="301">
        <f t="shared" si="6"/>
        <v>0</v>
      </c>
      <c r="J55" s="102"/>
      <c r="K55" s="102"/>
      <c r="L55" s="102"/>
      <c r="M55" s="102"/>
      <c r="N55" s="102"/>
    </row>
    <row r="56" spans="1:14" outlineLevel="1">
      <c r="A56" s="102"/>
      <c r="B56" s="124"/>
      <c r="C56" s="124" t="s">
        <v>637</v>
      </c>
      <c r="D56" s="293"/>
      <c r="E56" s="509"/>
      <c r="F56" s="124"/>
      <c r="G56" s="293"/>
      <c r="H56" s="293"/>
      <c r="I56" s="301">
        <f t="shared" si="6"/>
        <v>0</v>
      </c>
      <c r="J56" s="102"/>
      <c r="K56" s="102"/>
      <c r="L56" s="102"/>
      <c r="M56" s="102"/>
      <c r="N56" s="102"/>
    </row>
    <row r="57" spans="1:14" outlineLevel="1">
      <c r="A57" s="102"/>
      <c r="B57" s="1028" t="s">
        <v>109</v>
      </c>
      <c r="C57" s="1027"/>
      <c r="D57" s="643"/>
      <c r="E57" s="1027"/>
      <c r="F57" s="1027"/>
      <c r="G57" s="643">
        <f>+SUM(G52:G56)</f>
        <v>120000</v>
      </c>
      <c r="H57" s="643">
        <f t="shared" ref="H57" si="7">+SUM(H52:H56)</f>
        <v>0</v>
      </c>
      <c r="I57" s="1044">
        <f t="shared" ref="I57" si="8">+SUM(I52:I56)</f>
        <v>120000</v>
      </c>
      <c r="J57" s="1487">
        <f>+I57-F15</f>
        <v>120000</v>
      </c>
      <c r="K57" s="102"/>
      <c r="L57" s="102"/>
      <c r="M57" s="102"/>
      <c r="N57" s="102"/>
    </row>
    <row r="58" spans="1:14">
      <c r="A58" s="102"/>
      <c r="B58" s="102"/>
      <c r="C58" s="102"/>
      <c r="D58" s="102"/>
      <c r="E58" s="102"/>
      <c r="F58" s="102"/>
      <c r="G58" s="102"/>
      <c r="H58" s="102"/>
      <c r="I58" s="102"/>
      <c r="J58" s="102"/>
      <c r="K58" s="102"/>
      <c r="L58" s="102"/>
      <c r="M58" s="102"/>
      <c r="N58" s="102"/>
    </row>
    <row r="59" spans="1:14">
      <c r="A59" s="102"/>
      <c r="B59" s="102"/>
      <c r="C59" s="102"/>
      <c r="D59" s="102"/>
      <c r="E59" s="102"/>
      <c r="F59" s="102"/>
      <c r="G59" s="102"/>
      <c r="H59" s="102"/>
      <c r="I59" s="102"/>
      <c r="J59" s="102"/>
      <c r="K59" s="102"/>
      <c r="L59" s="102"/>
      <c r="M59" s="102"/>
      <c r="N59" s="102"/>
    </row>
    <row r="60" spans="1:14">
      <c r="A60" s="102"/>
      <c r="B60" s="103" t="s">
        <v>143</v>
      </c>
      <c r="C60" s="102"/>
      <c r="D60" s="102"/>
      <c r="E60" s="102"/>
      <c r="F60" s="102"/>
      <c r="G60" s="102"/>
      <c r="H60" s="102"/>
      <c r="I60" s="102"/>
      <c r="J60" s="102"/>
      <c r="K60" s="102"/>
      <c r="L60" s="102"/>
      <c r="M60" s="102"/>
      <c r="N60" s="102"/>
    </row>
    <row r="61" spans="1:14" ht="26.25" outlineLevel="1">
      <c r="A61" s="102"/>
      <c r="B61" s="1037" t="s">
        <v>150</v>
      </c>
      <c r="C61" s="1038" t="s">
        <v>131</v>
      </c>
      <c r="D61" s="1038" t="s">
        <v>144</v>
      </c>
      <c r="E61" s="1038" t="s">
        <v>145</v>
      </c>
      <c r="F61" s="1038" t="s">
        <v>146</v>
      </c>
      <c r="G61" s="1038" t="s">
        <v>147</v>
      </c>
      <c r="H61" s="1038" t="s">
        <v>148</v>
      </c>
      <c r="I61" s="1039" t="s">
        <v>149</v>
      </c>
      <c r="J61" s="103" t="s">
        <v>289</v>
      </c>
      <c r="K61" s="103"/>
      <c r="L61" s="103"/>
      <c r="M61" s="102"/>
      <c r="N61" s="102"/>
    </row>
    <row r="62" spans="1:14" outlineLevel="1">
      <c r="A62" s="102"/>
      <c r="B62" s="1040"/>
      <c r="C62" s="1041"/>
      <c r="D62" s="1041"/>
      <c r="E62" s="1041"/>
      <c r="F62" s="1041"/>
      <c r="G62" s="1041"/>
      <c r="H62" s="1041"/>
      <c r="I62" s="1042">
        <f>+Datos!D6</f>
        <v>45657</v>
      </c>
      <c r="J62" s="102"/>
      <c r="K62" s="102"/>
      <c r="L62" s="102"/>
      <c r="M62" s="102"/>
      <c r="N62" s="102"/>
    </row>
    <row r="63" spans="1:14" outlineLevel="1">
      <c r="A63" s="102"/>
      <c r="B63" s="1036"/>
      <c r="C63" s="1026"/>
      <c r="D63" s="1026"/>
      <c r="E63" s="1026"/>
      <c r="F63" s="1026" t="s">
        <v>20</v>
      </c>
      <c r="G63" s="1026" t="s">
        <v>20</v>
      </c>
      <c r="H63" s="1026" t="s">
        <v>20</v>
      </c>
      <c r="I63" s="1043" t="s">
        <v>20</v>
      </c>
      <c r="J63" s="102"/>
      <c r="K63" s="102"/>
      <c r="L63" s="102"/>
      <c r="M63" s="102"/>
      <c r="N63" s="102"/>
    </row>
    <row r="64" spans="1:14" outlineLevel="1">
      <c r="A64" s="102"/>
      <c r="B64" s="124"/>
      <c r="C64" s="124" t="s">
        <v>637</v>
      </c>
      <c r="D64" s="121"/>
      <c r="E64" s="121"/>
      <c r="F64" s="293"/>
      <c r="G64" s="293"/>
      <c r="H64" s="187"/>
      <c r="I64" s="301"/>
      <c r="J64" s="102"/>
      <c r="K64" s="102"/>
      <c r="L64" s="102"/>
      <c r="M64" s="102"/>
      <c r="N64" s="102"/>
    </row>
    <row r="65" spans="1:14" outlineLevel="1">
      <c r="A65" s="102"/>
      <c r="B65" s="124"/>
      <c r="C65" s="124" t="s">
        <v>637</v>
      </c>
      <c r="D65" s="186"/>
      <c r="E65" s="186"/>
      <c r="F65" s="340"/>
      <c r="G65" s="293"/>
      <c r="H65" s="187"/>
      <c r="I65" s="301"/>
      <c r="J65" s="102"/>
      <c r="K65" s="102"/>
      <c r="L65" s="102"/>
      <c r="M65" s="102"/>
      <c r="N65" s="102"/>
    </row>
    <row r="66" spans="1:14" outlineLevel="1">
      <c r="A66" s="102"/>
      <c r="B66" s="124"/>
      <c r="C66" s="124" t="s">
        <v>637</v>
      </c>
      <c r="D66" s="186"/>
      <c r="E66" s="186"/>
      <c r="F66" s="340"/>
      <c r="G66" s="293"/>
      <c r="H66" s="187"/>
      <c r="I66" s="301"/>
      <c r="J66" s="102"/>
      <c r="K66" s="102"/>
      <c r="L66" s="102"/>
      <c r="M66" s="102"/>
      <c r="N66" s="102"/>
    </row>
    <row r="67" spans="1:14" outlineLevel="1">
      <c r="A67" s="102"/>
      <c r="B67" s="124"/>
      <c r="C67" s="124" t="s">
        <v>637</v>
      </c>
      <c r="D67" s="186"/>
      <c r="E67" s="186"/>
      <c r="F67" s="340"/>
      <c r="G67" s="293"/>
      <c r="H67" s="187"/>
      <c r="I67" s="301"/>
      <c r="J67" s="102"/>
      <c r="K67" s="102"/>
      <c r="L67" s="102"/>
      <c r="M67" s="102"/>
      <c r="N67" s="102"/>
    </row>
    <row r="68" spans="1:14" outlineLevel="1">
      <c r="A68" s="102"/>
      <c r="B68" s="124"/>
      <c r="C68" s="124" t="s">
        <v>637</v>
      </c>
      <c r="D68" s="121"/>
      <c r="E68" s="121"/>
      <c r="F68" s="293"/>
      <c r="G68" s="293"/>
      <c r="H68" s="187"/>
      <c r="I68" s="301"/>
      <c r="J68" s="102"/>
      <c r="K68" s="102"/>
      <c r="L68" s="102"/>
      <c r="M68" s="102"/>
      <c r="N68" s="102"/>
    </row>
    <row r="69" spans="1:14" outlineLevel="1">
      <c r="A69" s="102"/>
      <c r="B69" s="1029" t="s">
        <v>109</v>
      </c>
      <c r="C69" s="1027"/>
      <c r="D69" s="1027"/>
      <c r="E69" s="1027"/>
      <c r="F69" s="643"/>
      <c r="G69" s="643"/>
      <c r="H69" s="1027"/>
      <c r="I69" s="1044">
        <f>+SUM(I64:I68)</f>
        <v>0</v>
      </c>
      <c r="J69" s="102">
        <f>+I69-D18</f>
        <v>0</v>
      </c>
      <c r="K69" s="102"/>
      <c r="L69" s="102"/>
      <c r="M69" s="102"/>
      <c r="N69" s="102"/>
    </row>
    <row r="70" spans="1:14" outlineLevel="1">
      <c r="A70" s="102"/>
      <c r="B70" s="102"/>
      <c r="C70" s="102"/>
      <c r="D70" s="102"/>
      <c r="E70" s="102"/>
      <c r="F70" s="102"/>
      <c r="G70" s="102"/>
      <c r="H70" s="102"/>
      <c r="I70" s="102"/>
      <c r="J70" s="102"/>
      <c r="K70" s="102"/>
      <c r="L70" s="102"/>
      <c r="M70" s="102"/>
      <c r="N70" s="102"/>
    </row>
    <row r="71" spans="1:14" ht="26.25" outlineLevel="1">
      <c r="A71" s="102"/>
      <c r="B71" s="1037" t="s">
        <v>150</v>
      </c>
      <c r="C71" s="1038" t="s">
        <v>131</v>
      </c>
      <c r="D71" s="1038" t="s">
        <v>144</v>
      </c>
      <c r="E71" s="1038" t="s">
        <v>145</v>
      </c>
      <c r="F71" s="1038" t="s">
        <v>146</v>
      </c>
      <c r="G71" s="1038" t="s">
        <v>147</v>
      </c>
      <c r="H71" s="1038" t="s">
        <v>148</v>
      </c>
      <c r="I71" s="1039" t="s">
        <v>149</v>
      </c>
      <c r="J71" s="102"/>
      <c r="K71" s="102"/>
      <c r="L71" s="102"/>
      <c r="M71" s="102"/>
      <c r="N71" s="102"/>
    </row>
    <row r="72" spans="1:14" outlineLevel="1">
      <c r="A72" s="102"/>
      <c r="B72" s="1040"/>
      <c r="C72" s="1041"/>
      <c r="D72" s="1041"/>
      <c r="E72" s="1041"/>
      <c r="F72" s="1041"/>
      <c r="G72" s="1041"/>
      <c r="H72" s="1041"/>
      <c r="I72" s="1042">
        <f>+Datos!E6</f>
        <v>45291</v>
      </c>
      <c r="J72" s="102"/>
      <c r="K72" s="102"/>
      <c r="L72" s="102"/>
      <c r="M72" s="102"/>
      <c r="N72" s="102"/>
    </row>
    <row r="73" spans="1:14" outlineLevel="1">
      <c r="A73" s="102"/>
      <c r="B73" s="1036"/>
      <c r="C73" s="1026"/>
      <c r="D73" s="1026"/>
      <c r="E73" s="1026"/>
      <c r="F73" s="1026" t="s">
        <v>20</v>
      </c>
      <c r="G73" s="1026" t="s">
        <v>20</v>
      </c>
      <c r="H73" s="1026" t="s">
        <v>20</v>
      </c>
      <c r="I73" s="1043" t="s">
        <v>20</v>
      </c>
      <c r="J73" s="102"/>
      <c r="K73" s="102"/>
      <c r="L73" s="102"/>
      <c r="M73" s="102"/>
      <c r="N73" s="102"/>
    </row>
    <row r="74" spans="1:14" outlineLevel="1">
      <c r="A74" s="102"/>
      <c r="B74" s="124"/>
      <c r="C74" s="124" t="s">
        <v>637</v>
      </c>
      <c r="D74" s="121"/>
      <c r="E74" s="121"/>
      <c r="F74" s="293"/>
      <c r="G74" s="293"/>
      <c r="H74" s="187"/>
      <c r="I74" s="301"/>
      <c r="J74" s="102"/>
      <c r="K74" s="102"/>
      <c r="L74" s="102"/>
      <c r="M74" s="102"/>
      <c r="N74" s="102"/>
    </row>
    <row r="75" spans="1:14" outlineLevel="1">
      <c r="A75" s="102"/>
      <c r="B75" s="124"/>
      <c r="C75" s="124" t="s">
        <v>637</v>
      </c>
      <c r="D75" s="186"/>
      <c r="E75" s="186"/>
      <c r="F75" s="340"/>
      <c r="G75" s="293"/>
      <c r="H75" s="187"/>
      <c r="I75" s="301"/>
      <c r="J75" s="102"/>
      <c r="K75" s="102"/>
      <c r="L75" s="102"/>
      <c r="M75" s="102"/>
      <c r="N75" s="102"/>
    </row>
    <row r="76" spans="1:14" outlineLevel="1">
      <c r="A76" s="102"/>
      <c r="B76" s="124"/>
      <c r="C76" s="124" t="s">
        <v>637</v>
      </c>
      <c r="D76" s="186"/>
      <c r="E76" s="186"/>
      <c r="F76" s="340"/>
      <c r="G76" s="293"/>
      <c r="H76" s="187"/>
      <c r="I76" s="301"/>
      <c r="J76" s="102"/>
      <c r="K76" s="102"/>
      <c r="L76" s="102"/>
      <c r="M76" s="102"/>
      <c r="N76" s="102"/>
    </row>
    <row r="77" spans="1:14" outlineLevel="1">
      <c r="A77" s="102"/>
      <c r="B77" s="124"/>
      <c r="C77" s="124" t="s">
        <v>637</v>
      </c>
      <c r="D77" s="186"/>
      <c r="E77" s="186"/>
      <c r="F77" s="340"/>
      <c r="G77" s="293"/>
      <c r="H77" s="187"/>
      <c r="I77" s="301"/>
      <c r="J77" s="102"/>
      <c r="K77" s="102"/>
      <c r="L77" s="102"/>
      <c r="M77" s="102"/>
      <c r="N77" s="102"/>
    </row>
    <row r="78" spans="1:14" outlineLevel="1">
      <c r="A78" s="102"/>
      <c r="B78" s="124"/>
      <c r="C78" s="124" t="s">
        <v>637</v>
      </c>
      <c r="D78" s="121"/>
      <c r="E78" s="121"/>
      <c r="F78" s="293"/>
      <c r="G78" s="293"/>
      <c r="H78" s="187"/>
      <c r="I78" s="301"/>
      <c r="J78" s="102"/>
      <c r="K78" s="102"/>
      <c r="L78" s="102"/>
      <c r="M78" s="102"/>
      <c r="N78" s="102"/>
    </row>
    <row r="79" spans="1:14" outlineLevel="1">
      <c r="A79" s="102"/>
      <c r="B79" s="1029" t="s">
        <v>109</v>
      </c>
      <c r="C79" s="1027"/>
      <c r="D79" s="1027"/>
      <c r="E79" s="1027"/>
      <c r="F79" s="643"/>
      <c r="G79" s="643"/>
      <c r="H79" s="1027"/>
      <c r="I79" s="1044">
        <f>+SUM(I74:I78)</f>
        <v>0</v>
      </c>
      <c r="J79" s="102">
        <f>+I79-E18</f>
        <v>0</v>
      </c>
      <c r="K79" s="102"/>
      <c r="L79" s="102"/>
      <c r="M79" s="102"/>
      <c r="N79" s="102"/>
    </row>
    <row r="80" spans="1:14" outlineLevel="1">
      <c r="A80" s="102"/>
      <c r="B80" s="102"/>
      <c r="C80" s="102"/>
      <c r="D80" s="102"/>
      <c r="E80" s="102"/>
      <c r="F80" s="102"/>
      <c r="G80" s="102"/>
      <c r="H80" s="102"/>
      <c r="I80" s="102"/>
      <c r="J80" s="102"/>
      <c r="K80" s="102"/>
      <c r="L80" s="102"/>
      <c r="M80" s="102"/>
      <c r="N80" s="102"/>
    </row>
    <row r="81" spans="1:14" ht="26.25" outlineLevel="1">
      <c r="A81" s="102"/>
      <c r="B81" s="1037" t="s">
        <v>150</v>
      </c>
      <c r="C81" s="1038" t="s">
        <v>131</v>
      </c>
      <c r="D81" s="1038" t="s">
        <v>144</v>
      </c>
      <c r="E81" s="1038" t="s">
        <v>145</v>
      </c>
      <c r="F81" s="1038" t="s">
        <v>146</v>
      </c>
      <c r="G81" s="1038" t="s">
        <v>147</v>
      </c>
      <c r="H81" s="1038" t="s">
        <v>148</v>
      </c>
      <c r="I81" s="1039" t="s">
        <v>149</v>
      </c>
      <c r="J81" s="102"/>
      <c r="K81" s="102"/>
      <c r="L81" s="102"/>
      <c r="M81" s="102"/>
      <c r="N81" s="102"/>
    </row>
    <row r="82" spans="1:14" outlineLevel="1">
      <c r="A82" s="102"/>
      <c r="B82" s="1040"/>
      <c r="C82" s="1041"/>
      <c r="D82" s="1041"/>
      <c r="E82" s="1041"/>
      <c r="F82" s="1041"/>
      <c r="G82" s="1041"/>
      <c r="H82" s="1041"/>
      <c r="I82" s="1042">
        <f>+Datos!F6</f>
        <v>44927</v>
      </c>
      <c r="J82" s="102"/>
      <c r="K82" s="102"/>
      <c r="L82" s="102"/>
      <c r="M82" s="102"/>
      <c r="N82" s="102"/>
    </row>
    <row r="83" spans="1:14" outlineLevel="1">
      <c r="A83" s="102"/>
      <c r="B83" s="1036"/>
      <c r="C83" s="1026"/>
      <c r="D83" s="1026"/>
      <c r="E83" s="1026"/>
      <c r="F83" s="1026" t="s">
        <v>20</v>
      </c>
      <c r="G83" s="1026" t="s">
        <v>20</v>
      </c>
      <c r="H83" s="1026" t="s">
        <v>20</v>
      </c>
      <c r="I83" s="1043" t="s">
        <v>20</v>
      </c>
      <c r="J83" s="102"/>
      <c r="K83" s="102"/>
      <c r="L83" s="102"/>
      <c r="M83" s="102"/>
      <c r="N83" s="102"/>
    </row>
    <row r="84" spans="1:14" outlineLevel="1">
      <c r="A84" s="102"/>
      <c r="B84" s="124"/>
      <c r="C84" s="124" t="s">
        <v>637</v>
      </c>
      <c r="D84" s="121"/>
      <c r="E84" s="121"/>
      <c r="F84" s="293"/>
      <c r="G84" s="293"/>
      <c r="H84" s="187"/>
      <c r="I84" s="301"/>
      <c r="J84" s="102"/>
      <c r="K84" s="102"/>
      <c r="L84" s="102"/>
      <c r="M84" s="102"/>
      <c r="N84" s="102"/>
    </row>
    <row r="85" spans="1:14" outlineLevel="1">
      <c r="A85" s="102"/>
      <c r="B85" s="124"/>
      <c r="C85" s="124" t="s">
        <v>637</v>
      </c>
      <c r="D85" s="186"/>
      <c r="E85" s="186"/>
      <c r="F85" s="340"/>
      <c r="G85" s="293"/>
      <c r="H85" s="187"/>
      <c r="I85" s="301"/>
      <c r="J85" s="102"/>
      <c r="K85" s="102"/>
      <c r="L85" s="102"/>
      <c r="M85" s="102"/>
      <c r="N85" s="102"/>
    </row>
    <row r="86" spans="1:14" outlineLevel="1">
      <c r="A86" s="102"/>
      <c r="B86" s="124"/>
      <c r="C86" s="124" t="s">
        <v>637</v>
      </c>
      <c r="D86" s="186"/>
      <c r="E86" s="186"/>
      <c r="F86" s="340"/>
      <c r="G86" s="293"/>
      <c r="H86" s="187"/>
      <c r="I86" s="301"/>
      <c r="J86" s="102"/>
      <c r="K86" s="102"/>
      <c r="L86" s="102"/>
      <c r="M86" s="102"/>
      <c r="N86" s="102"/>
    </row>
    <row r="87" spans="1:14" outlineLevel="1">
      <c r="A87" s="102"/>
      <c r="B87" s="124"/>
      <c r="C87" s="124" t="s">
        <v>637</v>
      </c>
      <c r="D87" s="186"/>
      <c r="E87" s="186"/>
      <c r="F87" s="340"/>
      <c r="G87" s="293"/>
      <c r="H87" s="187"/>
      <c r="I87" s="301"/>
      <c r="J87" s="102"/>
      <c r="K87" s="102"/>
      <c r="L87" s="102"/>
      <c r="M87" s="102"/>
      <c r="N87" s="102"/>
    </row>
    <row r="88" spans="1:14" outlineLevel="1">
      <c r="A88" s="102"/>
      <c r="B88" s="124"/>
      <c r="C88" s="124" t="s">
        <v>637</v>
      </c>
      <c r="D88" s="121"/>
      <c r="E88" s="121"/>
      <c r="F88" s="293"/>
      <c r="G88" s="293"/>
      <c r="H88" s="187"/>
      <c r="I88" s="301"/>
      <c r="J88" s="102"/>
      <c r="K88" s="102"/>
      <c r="L88" s="102"/>
      <c r="M88" s="102"/>
      <c r="N88" s="102"/>
    </row>
    <row r="89" spans="1:14" outlineLevel="1">
      <c r="A89" s="102"/>
      <c r="B89" s="1029" t="s">
        <v>109</v>
      </c>
      <c r="C89" s="1027"/>
      <c r="D89" s="1027"/>
      <c r="E89" s="1027"/>
      <c r="F89" s="643"/>
      <c r="G89" s="643"/>
      <c r="H89" s="1027"/>
      <c r="I89" s="1044">
        <f>+SUM(I84:I88)</f>
        <v>0</v>
      </c>
      <c r="J89" s="102">
        <f>+I89-F18</f>
        <v>0</v>
      </c>
      <c r="K89" s="102"/>
      <c r="L89" s="102"/>
      <c r="M89" s="102"/>
      <c r="N89" s="102"/>
    </row>
  </sheetData>
  <sheetProtection autoFilter="0"/>
  <mergeCells count="1">
    <mergeCell ref="H2:J2"/>
  </mergeCells>
  <dataValidations count="1">
    <dataValidation type="list" allowBlank="1" showInputMessage="1" showErrorMessage="1" sqref="C30:C34 C84:C88 C74:C78 C64:C68 C52:C56 C41:C45" xr:uid="{00000000-0002-0000-0E00-000000000000}">
      <formula1>$M$18:$M$21</formula1>
    </dataValidation>
  </dataValidations>
  <hyperlinks>
    <hyperlink ref="D1" location="'Est Situacion'!A1" display="Volver" xr:uid="{00000000-0004-0000-0E00-000000000000}"/>
  </hyperlinks>
  <pageMargins left="0.70866141732283472" right="0.70866141732283472" top="0.74803149606299213" bottom="0.74803149606299213" header="0.31496062992125984" footer="0.31496062992125984"/>
  <pageSetup scale="51" orientation="portrait"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tint="-0.249977111117893"/>
    <pageSetUpPr fitToPage="1"/>
  </sheetPr>
  <dimension ref="A1:H20"/>
  <sheetViews>
    <sheetView showGridLines="0" workbookViewId="0">
      <selection activeCell="B27" sqref="B27"/>
    </sheetView>
  </sheetViews>
  <sheetFormatPr baseColWidth="10" defaultColWidth="11.46484375" defaultRowHeight="11.65"/>
  <cols>
    <col min="1" max="1" width="11.46484375" style="28"/>
    <col min="2" max="2" width="33.19921875" style="28" customWidth="1"/>
    <col min="3" max="5" width="13.53125" style="28" customWidth="1"/>
    <col min="6" max="6" width="11.53125" style="28" bestFit="1" customWidth="1"/>
    <col min="7" max="7" width="12.796875" style="28" bestFit="1" customWidth="1"/>
    <col min="8" max="8" width="11.53125" style="28" bestFit="1" customWidth="1"/>
    <col min="9" max="16384" width="11.46484375" style="28"/>
  </cols>
  <sheetData>
    <row r="1" spans="1:8" ht="14.25">
      <c r="A1" s="182" t="s">
        <v>163</v>
      </c>
      <c r="B1" s="197"/>
      <c r="C1" s="197"/>
      <c r="D1" s="197"/>
      <c r="E1" s="183" t="s">
        <v>417</v>
      </c>
      <c r="F1" s="197"/>
      <c r="G1" s="197"/>
      <c r="H1" s="197"/>
    </row>
    <row r="2" spans="1:8">
      <c r="A2" s="197"/>
      <c r="B2" s="197"/>
      <c r="C2" s="197"/>
      <c r="D2" s="197"/>
      <c r="E2" s="197"/>
      <c r="F2" s="197"/>
      <c r="G2" s="197"/>
      <c r="H2" s="197"/>
    </row>
    <row r="3" spans="1:8">
      <c r="A3" s="197"/>
      <c r="B3" s="197"/>
      <c r="C3" s="35"/>
      <c r="D3" s="198">
        <f>+Datos!D6</f>
        <v>45657</v>
      </c>
      <c r="E3" s="36"/>
      <c r="F3" s="35"/>
      <c r="G3" s="198">
        <f>+Datos!E6</f>
        <v>45291</v>
      </c>
      <c r="H3" s="36"/>
    </row>
    <row r="4" spans="1:8" ht="23.25">
      <c r="A4" s="197"/>
      <c r="B4" s="199" t="s">
        <v>202</v>
      </c>
      <c r="C4" s="200" t="s">
        <v>161</v>
      </c>
      <c r="D4" s="200" t="s">
        <v>162</v>
      </c>
      <c r="E4" s="201" t="s">
        <v>160</v>
      </c>
      <c r="F4" s="200" t="s">
        <v>161</v>
      </c>
      <c r="G4" s="200" t="s">
        <v>162</v>
      </c>
      <c r="H4" s="201" t="s">
        <v>160</v>
      </c>
    </row>
    <row r="5" spans="1:8">
      <c r="A5" s="197"/>
      <c r="B5" s="202"/>
      <c r="C5" s="203" t="s">
        <v>20</v>
      </c>
      <c r="D5" s="203" t="s">
        <v>20</v>
      </c>
      <c r="E5" s="204" t="s">
        <v>20</v>
      </c>
      <c r="F5" s="203" t="s">
        <v>20</v>
      </c>
      <c r="G5" s="203" t="s">
        <v>20</v>
      </c>
      <c r="H5" s="204" t="s">
        <v>20</v>
      </c>
    </row>
    <row r="6" spans="1:8">
      <c r="A6" s="197"/>
      <c r="B6" s="205" t="s">
        <v>156</v>
      </c>
      <c r="C6" s="197"/>
      <c r="D6" s="197"/>
      <c r="E6" s="197"/>
      <c r="F6" s="197"/>
      <c r="G6" s="197"/>
      <c r="H6" s="197"/>
    </row>
    <row r="7" spans="1:8">
      <c r="A7" s="197"/>
      <c r="B7" s="197" t="s">
        <v>151</v>
      </c>
      <c r="C7" s="197"/>
      <c r="D7" s="197"/>
      <c r="E7" s="197">
        <f>+SUM(C7:D7)</f>
        <v>0</v>
      </c>
      <c r="F7" s="197"/>
      <c r="G7" s="197"/>
      <c r="H7" s="197">
        <f>+SUM(F7:G7)</f>
        <v>0</v>
      </c>
    </row>
    <row r="8" spans="1:8">
      <c r="A8" s="197"/>
      <c r="B8" s="197" t="s">
        <v>152</v>
      </c>
      <c r="C8" s="197"/>
      <c r="D8" s="197"/>
      <c r="E8" s="197">
        <f t="shared" ref="E8:E10" si="0">+SUM(C8:D8)</f>
        <v>0</v>
      </c>
      <c r="F8" s="197"/>
      <c r="G8" s="197"/>
      <c r="H8" s="197">
        <f t="shared" ref="H8:H10" si="1">+SUM(F8:G8)</f>
        <v>0</v>
      </c>
    </row>
    <row r="9" spans="1:8">
      <c r="A9" s="197"/>
      <c r="B9" s="197" t="s">
        <v>153</v>
      </c>
      <c r="C9" s="197"/>
      <c r="D9" s="197"/>
      <c r="E9" s="197">
        <f t="shared" si="0"/>
        <v>0</v>
      </c>
      <c r="F9" s="197"/>
      <c r="G9" s="197"/>
      <c r="H9" s="197">
        <f t="shared" si="1"/>
        <v>0</v>
      </c>
    </row>
    <row r="10" spans="1:8">
      <c r="A10" s="197"/>
      <c r="B10" s="197" t="s">
        <v>154</v>
      </c>
      <c r="C10" s="197"/>
      <c r="D10" s="197"/>
      <c r="E10" s="197">
        <f t="shared" si="0"/>
        <v>0</v>
      </c>
      <c r="F10" s="197"/>
      <c r="G10" s="197"/>
      <c r="H10" s="197">
        <f t="shared" si="1"/>
        <v>0</v>
      </c>
    </row>
    <row r="11" spans="1:8">
      <c r="A11" s="197"/>
      <c r="B11" s="35" t="s">
        <v>155</v>
      </c>
      <c r="C11" s="206">
        <f>+SUM(C7:C10)</f>
        <v>0</v>
      </c>
      <c r="D11" s="206">
        <f t="shared" ref="D11:E11" si="2">+SUM(D7:D10)</f>
        <v>0</v>
      </c>
      <c r="E11" s="207">
        <f t="shared" si="2"/>
        <v>0</v>
      </c>
      <c r="F11" s="206">
        <f>+SUM(F7:F10)</f>
        <v>0</v>
      </c>
      <c r="G11" s="206">
        <f t="shared" ref="G11" si="3">+SUM(G7:G10)</f>
        <v>0</v>
      </c>
      <c r="H11" s="207">
        <f t="shared" ref="H11" si="4">+SUM(H7:H10)</f>
        <v>0</v>
      </c>
    </row>
    <row r="12" spans="1:8">
      <c r="A12" s="197"/>
      <c r="B12" s="205" t="s">
        <v>157</v>
      </c>
      <c r="C12" s="197"/>
      <c r="D12" s="197"/>
      <c r="E12" s="197"/>
      <c r="F12" s="197"/>
      <c r="G12" s="197"/>
      <c r="H12" s="197"/>
    </row>
    <row r="13" spans="1:8">
      <c r="A13" s="197"/>
      <c r="B13" s="197" t="s">
        <v>151</v>
      </c>
      <c r="C13" s="197"/>
      <c r="D13" s="197"/>
      <c r="E13" s="197">
        <f>+SUM(C13:D13)</f>
        <v>0</v>
      </c>
      <c r="F13" s="197"/>
      <c r="G13" s="197"/>
      <c r="H13" s="197">
        <f>+SUM(F13:G13)</f>
        <v>0</v>
      </c>
    </row>
    <row r="14" spans="1:8">
      <c r="A14" s="197"/>
      <c r="B14" s="197" t="s">
        <v>152</v>
      </c>
      <c r="C14" s="197"/>
      <c r="D14" s="197"/>
      <c r="E14" s="197">
        <f t="shared" ref="E14:E16" si="5">+SUM(C14:D14)</f>
        <v>0</v>
      </c>
      <c r="F14" s="197"/>
      <c r="G14" s="197"/>
      <c r="H14" s="197">
        <f t="shared" ref="H14:H16" si="6">+SUM(F14:G14)</f>
        <v>0</v>
      </c>
    </row>
    <row r="15" spans="1:8">
      <c r="A15" s="197"/>
      <c r="B15" s="197" t="s">
        <v>153</v>
      </c>
      <c r="C15" s="197"/>
      <c r="D15" s="197"/>
      <c r="E15" s="197">
        <f t="shared" si="5"/>
        <v>0</v>
      </c>
      <c r="F15" s="197"/>
      <c r="G15" s="197"/>
      <c r="H15" s="197">
        <f t="shared" si="6"/>
        <v>0</v>
      </c>
    </row>
    <row r="16" spans="1:8">
      <c r="A16" s="197"/>
      <c r="B16" s="197" t="s">
        <v>154</v>
      </c>
      <c r="C16" s="197"/>
      <c r="D16" s="197"/>
      <c r="E16" s="197">
        <f t="shared" si="5"/>
        <v>0</v>
      </c>
      <c r="F16" s="197"/>
      <c r="G16" s="197"/>
      <c r="H16" s="197">
        <f t="shared" si="6"/>
        <v>0</v>
      </c>
    </row>
    <row r="17" spans="1:8">
      <c r="A17" s="197"/>
      <c r="B17" s="35" t="s">
        <v>158</v>
      </c>
      <c r="C17" s="206">
        <f>+SUM(C13:C16)</f>
        <v>0</v>
      </c>
      <c r="D17" s="206">
        <f t="shared" ref="D17" si="7">+SUM(D13:D16)</f>
        <v>0</v>
      </c>
      <c r="E17" s="207">
        <f t="shared" ref="E17" si="8">+SUM(E13:E16)</f>
        <v>0</v>
      </c>
      <c r="F17" s="206">
        <f>+SUM(F13:F16)</f>
        <v>0</v>
      </c>
      <c r="G17" s="206">
        <f t="shared" ref="G17" si="9">+SUM(G13:G16)</f>
        <v>0</v>
      </c>
      <c r="H17" s="207">
        <f t="shared" ref="H17" si="10">+SUM(H13:H16)</f>
        <v>0</v>
      </c>
    </row>
    <row r="18" spans="1:8">
      <c r="A18" s="197"/>
      <c r="B18" s="35" t="s">
        <v>159</v>
      </c>
      <c r="C18" s="206">
        <f>+C17+C11</f>
        <v>0</v>
      </c>
      <c r="D18" s="206">
        <f t="shared" ref="D18:E18" si="11">+D17+D11</f>
        <v>0</v>
      </c>
      <c r="E18" s="207">
        <f t="shared" si="11"/>
        <v>0</v>
      </c>
      <c r="F18" s="206">
        <f>+F17+F11</f>
        <v>0</v>
      </c>
      <c r="G18" s="206">
        <f t="shared" ref="G18" si="12">+G17+G11</f>
        <v>0</v>
      </c>
      <c r="H18" s="207">
        <f t="shared" ref="H18" si="13">+H17+H11</f>
        <v>0</v>
      </c>
    </row>
    <row r="19" spans="1:8">
      <c r="A19" s="197"/>
      <c r="B19" s="197"/>
      <c r="C19" s="197"/>
      <c r="D19" s="197"/>
      <c r="E19" s="197"/>
      <c r="F19" s="197"/>
      <c r="G19" s="197"/>
      <c r="H19" s="197"/>
    </row>
    <row r="20" spans="1:8">
      <c r="A20" s="197"/>
      <c r="B20" s="208" t="s">
        <v>201</v>
      </c>
      <c r="C20" s="209"/>
      <c r="D20" s="210"/>
      <c r="E20" s="210" t="e">
        <f>+E18-'Est Situacion'!#REF!</f>
        <v>#REF!</v>
      </c>
      <c r="F20" s="210"/>
      <c r="G20" s="210"/>
      <c r="H20" s="210" t="e">
        <f>+H18-'Est Situacion'!#REF!</f>
        <v>#REF!</v>
      </c>
    </row>
  </sheetData>
  <sheetProtection password="DF8B" sheet="1" objects="1" scenarios="1"/>
  <hyperlinks>
    <hyperlink ref="E1" location="'Est Situacion'!A1" display="Volver" xr:uid="{00000000-0004-0000-1000-000000000000}"/>
  </hyperlinks>
  <pageMargins left="0.70866141732283472" right="0.70866141732283472" top="0.74803149606299213" bottom="0.74803149606299213" header="0.31496062992125984" footer="0.31496062992125984"/>
  <pageSetup scale="7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tint="-0.249977111117893"/>
    <pageSetUpPr fitToPage="1"/>
  </sheetPr>
  <dimension ref="A1:H29"/>
  <sheetViews>
    <sheetView showGridLines="0" topLeftCell="A27" workbookViewId="0">
      <selection activeCell="I27" sqref="I27"/>
    </sheetView>
  </sheetViews>
  <sheetFormatPr baseColWidth="10" defaultColWidth="11.46484375" defaultRowHeight="13.15"/>
  <cols>
    <col min="1" max="1" width="11.46484375" style="1"/>
    <col min="2" max="2" width="33.19921875" style="1" customWidth="1"/>
    <col min="3" max="5" width="13.53125" style="1" customWidth="1"/>
    <col min="6" max="6" width="11.53125" style="1" bestFit="1" customWidth="1"/>
    <col min="7" max="7" width="12.796875" style="1" bestFit="1" customWidth="1"/>
    <col min="8" max="8" width="11.53125" style="1" bestFit="1" customWidth="1"/>
    <col min="9" max="16384" width="11.46484375" style="1"/>
  </cols>
  <sheetData>
    <row r="1" spans="1:8" ht="14.25">
      <c r="A1" s="182" t="s">
        <v>165</v>
      </c>
      <c r="B1" s="211"/>
      <c r="C1" s="211"/>
      <c r="D1" s="102"/>
      <c r="E1" s="183" t="s">
        <v>417</v>
      </c>
      <c r="F1" s="102"/>
      <c r="G1" s="102"/>
      <c r="H1" s="102"/>
    </row>
    <row r="2" spans="1:8">
      <c r="A2" s="102"/>
      <c r="B2" s="102"/>
      <c r="C2" s="102"/>
      <c r="D2" s="102"/>
      <c r="E2" s="102"/>
      <c r="F2" s="102"/>
      <c r="G2" s="102"/>
      <c r="H2" s="102"/>
    </row>
    <row r="3" spans="1:8">
      <c r="A3" s="102"/>
      <c r="B3" s="102"/>
      <c r="C3" s="102"/>
      <c r="D3" s="102"/>
      <c r="E3" s="102"/>
      <c r="F3" s="102"/>
      <c r="G3" s="102"/>
      <c r="H3" s="102"/>
    </row>
    <row r="4" spans="1:8">
      <c r="A4" s="102"/>
      <c r="B4" s="197"/>
      <c r="C4" s="35"/>
      <c r="D4" s="198">
        <f>+Datos!D6</f>
        <v>45657</v>
      </c>
      <c r="E4" s="36"/>
      <c r="F4" s="35"/>
      <c r="G4" s="198">
        <f>+Datos!E6</f>
        <v>45291</v>
      </c>
      <c r="H4" s="36"/>
    </row>
    <row r="5" spans="1:8" ht="23.25">
      <c r="A5" s="102"/>
      <c r="B5" s="212"/>
      <c r="C5" s="200" t="s">
        <v>161</v>
      </c>
      <c r="D5" s="200" t="s">
        <v>162</v>
      </c>
      <c r="E5" s="201" t="s">
        <v>160</v>
      </c>
      <c r="F5" s="200" t="s">
        <v>161</v>
      </c>
      <c r="G5" s="200" t="s">
        <v>162</v>
      </c>
      <c r="H5" s="201" t="s">
        <v>160</v>
      </c>
    </row>
    <row r="6" spans="1:8">
      <c r="A6" s="102"/>
      <c r="B6" s="202"/>
      <c r="C6" s="203" t="s">
        <v>20</v>
      </c>
      <c r="D6" s="203" t="s">
        <v>20</v>
      </c>
      <c r="E6" s="204" t="s">
        <v>20</v>
      </c>
      <c r="F6" s="203" t="s">
        <v>20</v>
      </c>
      <c r="G6" s="203" t="s">
        <v>20</v>
      </c>
      <c r="H6" s="204" t="s">
        <v>20</v>
      </c>
    </row>
    <row r="7" spans="1:8">
      <c r="A7" s="102"/>
      <c r="B7" s="205" t="s">
        <v>166</v>
      </c>
      <c r="C7" s="197"/>
      <c r="D7" s="197"/>
      <c r="E7" s="197"/>
      <c r="F7" s="197"/>
      <c r="G7" s="197"/>
      <c r="H7" s="197"/>
    </row>
    <row r="8" spans="1:8">
      <c r="A8" s="102"/>
      <c r="B8" s="197" t="s">
        <v>151</v>
      </c>
      <c r="C8" s="213"/>
      <c r="D8" s="213"/>
      <c r="E8" s="197">
        <f>+SUM(C8:D8)</f>
        <v>0</v>
      </c>
      <c r="F8" s="213"/>
      <c r="G8" s="213"/>
      <c r="H8" s="197">
        <f>+SUM(F8:G8)</f>
        <v>0</v>
      </c>
    </row>
    <row r="9" spans="1:8">
      <c r="A9" s="102"/>
      <c r="B9" s="197" t="s">
        <v>152</v>
      </c>
      <c r="C9" s="213"/>
      <c r="D9" s="213"/>
      <c r="E9" s="197">
        <f t="shared" ref="E9:E11" si="0">+SUM(C9:D9)</f>
        <v>0</v>
      </c>
      <c r="F9" s="213"/>
      <c r="G9" s="213"/>
      <c r="H9" s="197">
        <f t="shared" ref="H9:H11" si="1">+SUM(F9:G9)</f>
        <v>0</v>
      </c>
    </row>
    <row r="10" spans="1:8">
      <c r="A10" s="102"/>
      <c r="B10" s="197" t="s">
        <v>153</v>
      </c>
      <c r="C10" s="213"/>
      <c r="D10" s="213"/>
      <c r="E10" s="197">
        <f t="shared" si="0"/>
        <v>0</v>
      </c>
      <c r="F10" s="213"/>
      <c r="G10" s="213"/>
      <c r="H10" s="197">
        <f t="shared" si="1"/>
        <v>0</v>
      </c>
    </row>
    <row r="11" spans="1:8">
      <c r="A11" s="102"/>
      <c r="B11" s="197" t="s">
        <v>154</v>
      </c>
      <c r="C11" s="213"/>
      <c r="D11" s="213"/>
      <c r="E11" s="197">
        <f t="shared" si="0"/>
        <v>0</v>
      </c>
      <c r="F11" s="213"/>
      <c r="G11" s="213"/>
      <c r="H11" s="197">
        <f t="shared" si="1"/>
        <v>0</v>
      </c>
    </row>
    <row r="12" spans="1:8">
      <c r="A12" s="102"/>
      <c r="B12" s="35" t="s">
        <v>155</v>
      </c>
      <c r="C12" s="206">
        <f>+SUM(C8:C11)</f>
        <v>0</v>
      </c>
      <c r="D12" s="206">
        <f t="shared" ref="D12:E12" si="2">+SUM(D8:D11)</f>
        <v>0</v>
      </c>
      <c r="E12" s="207">
        <f t="shared" si="2"/>
        <v>0</v>
      </c>
      <c r="F12" s="206">
        <f>+SUM(F8:F11)</f>
        <v>0</v>
      </c>
      <c r="G12" s="206">
        <f t="shared" ref="G12:H12" si="3">+SUM(G8:G11)</f>
        <v>0</v>
      </c>
      <c r="H12" s="207">
        <f t="shared" si="3"/>
        <v>0</v>
      </c>
    </row>
    <row r="13" spans="1:8">
      <c r="A13" s="102"/>
      <c r="B13" s="205" t="s">
        <v>167</v>
      </c>
      <c r="C13" s="197"/>
      <c r="D13" s="197"/>
      <c r="E13" s="197"/>
      <c r="F13" s="197"/>
      <c r="G13" s="197"/>
      <c r="H13" s="197"/>
    </row>
    <row r="14" spans="1:8">
      <c r="A14" s="102"/>
      <c r="B14" s="197" t="s">
        <v>151</v>
      </c>
      <c r="C14" s="213"/>
      <c r="D14" s="213"/>
      <c r="E14" s="197">
        <f>+SUM(C14:D14)</f>
        <v>0</v>
      </c>
      <c r="F14" s="213"/>
      <c r="G14" s="213"/>
      <c r="H14" s="197">
        <f>+SUM(F14:G14)</f>
        <v>0</v>
      </c>
    </row>
    <row r="15" spans="1:8">
      <c r="A15" s="102"/>
      <c r="B15" s="197" t="s">
        <v>152</v>
      </c>
      <c r="C15" s="213"/>
      <c r="D15" s="213"/>
      <c r="E15" s="197">
        <f t="shared" ref="E15:E17" si="4">+SUM(C15:D15)</f>
        <v>0</v>
      </c>
      <c r="F15" s="213"/>
      <c r="G15" s="213"/>
      <c r="H15" s="197">
        <f t="shared" ref="H15:H17" si="5">+SUM(F15:G15)</f>
        <v>0</v>
      </c>
    </row>
    <row r="16" spans="1:8">
      <c r="A16" s="102"/>
      <c r="B16" s="197" t="s">
        <v>153</v>
      </c>
      <c r="C16" s="213"/>
      <c r="D16" s="213"/>
      <c r="E16" s="197">
        <f t="shared" si="4"/>
        <v>0</v>
      </c>
      <c r="F16" s="213"/>
      <c r="G16" s="213"/>
      <c r="H16" s="197">
        <f t="shared" si="5"/>
        <v>0</v>
      </c>
    </row>
    <row r="17" spans="1:8">
      <c r="A17" s="102"/>
      <c r="B17" s="197" t="s">
        <v>154</v>
      </c>
      <c r="C17" s="213"/>
      <c r="D17" s="213"/>
      <c r="E17" s="197">
        <f t="shared" si="4"/>
        <v>0</v>
      </c>
      <c r="F17" s="213"/>
      <c r="G17" s="213"/>
      <c r="H17" s="197">
        <f t="shared" si="5"/>
        <v>0</v>
      </c>
    </row>
    <row r="18" spans="1:8">
      <c r="A18" s="102"/>
      <c r="B18" s="35" t="s">
        <v>158</v>
      </c>
      <c r="C18" s="206">
        <f>+SUM(C14:C17)</f>
        <v>0</v>
      </c>
      <c r="D18" s="206">
        <f t="shared" ref="D18:E18" si="6">+SUM(D14:D17)</f>
        <v>0</v>
      </c>
      <c r="E18" s="207">
        <f t="shared" si="6"/>
        <v>0</v>
      </c>
      <c r="F18" s="206">
        <f>+SUM(F14:F17)</f>
        <v>0</v>
      </c>
      <c r="G18" s="206">
        <f t="shared" ref="G18:H18" si="7">+SUM(G14:G17)</f>
        <v>0</v>
      </c>
      <c r="H18" s="207">
        <f t="shared" si="7"/>
        <v>0</v>
      </c>
    </row>
    <row r="19" spans="1:8">
      <c r="A19" s="102"/>
      <c r="B19" s="205" t="s">
        <v>168</v>
      </c>
      <c r="C19" s="214"/>
      <c r="D19" s="214"/>
      <c r="E19" s="214"/>
      <c r="F19" s="214"/>
      <c r="G19" s="214"/>
      <c r="H19" s="214"/>
    </row>
    <row r="20" spans="1:8">
      <c r="A20" s="102"/>
      <c r="B20" s="123"/>
      <c r="C20" s="215"/>
      <c r="D20" s="215"/>
      <c r="E20" s="214"/>
      <c r="F20" s="215"/>
      <c r="G20" s="215"/>
      <c r="H20" s="214"/>
    </row>
    <row r="21" spans="1:8">
      <c r="A21" s="102"/>
      <c r="B21" s="123" t="s">
        <v>639</v>
      </c>
      <c r="C21" s="215"/>
      <c r="D21" s="215"/>
      <c r="E21" s="197">
        <f t="shared" ref="E21:E25" si="8">+SUM(C21:D21)</f>
        <v>0</v>
      </c>
      <c r="F21" s="215"/>
      <c r="G21" s="215"/>
      <c r="H21" s="197">
        <f t="shared" ref="H21:H25" si="9">+SUM(F21:G21)</f>
        <v>0</v>
      </c>
    </row>
    <row r="22" spans="1:8">
      <c r="A22" s="102"/>
      <c r="B22" s="123"/>
      <c r="C22" s="215"/>
      <c r="D22" s="215"/>
      <c r="E22" s="197">
        <f t="shared" si="8"/>
        <v>0</v>
      </c>
      <c r="F22" s="215"/>
      <c r="G22" s="215"/>
      <c r="H22" s="197">
        <f t="shared" si="9"/>
        <v>0</v>
      </c>
    </row>
    <row r="23" spans="1:8">
      <c r="A23" s="102"/>
      <c r="B23" s="123"/>
      <c r="C23" s="215"/>
      <c r="D23" s="215"/>
      <c r="E23" s="197">
        <f t="shared" si="8"/>
        <v>0</v>
      </c>
      <c r="F23" s="215"/>
      <c r="G23" s="215"/>
      <c r="H23" s="197">
        <f t="shared" si="9"/>
        <v>0</v>
      </c>
    </row>
    <row r="24" spans="1:8">
      <c r="A24" s="102"/>
      <c r="B24" s="123"/>
      <c r="C24" s="215"/>
      <c r="D24" s="215"/>
      <c r="E24" s="197">
        <f t="shared" si="8"/>
        <v>0</v>
      </c>
      <c r="F24" s="215"/>
      <c r="G24" s="215"/>
      <c r="H24" s="197">
        <f t="shared" si="9"/>
        <v>0</v>
      </c>
    </row>
    <row r="25" spans="1:8">
      <c r="A25" s="102"/>
      <c r="B25" s="123"/>
      <c r="C25" s="215"/>
      <c r="D25" s="215"/>
      <c r="E25" s="197">
        <f t="shared" si="8"/>
        <v>0</v>
      </c>
      <c r="F25" s="215"/>
      <c r="G25" s="215"/>
      <c r="H25" s="197">
        <f t="shared" si="9"/>
        <v>0</v>
      </c>
    </row>
    <row r="26" spans="1:8">
      <c r="A26" s="102"/>
      <c r="B26" s="35" t="s">
        <v>169</v>
      </c>
      <c r="C26" s="206">
        <f>+SUM(C20:C25)</f>
        <v>0</v>
      </c>
      <c r="D26" s="206">
        <f t="shared" ref="D26:H26" si="10">+SUM(D20:D25)</f>
        <v>0</v>
      </c>
      <c r="E26" s="207">
        <f t="shared" si="10"/>
        <v>0</v>
      </c>
      <c r="F26" s="206">
        <f t="shared" si="10"/>
        <v>0</v>
      </c>
      <c r="G26" s="206">
        <f t="shared" si="10"/>
        <v>0</v>
      </c>
      <c r="H26" s="207">
        <f t="shared" si="10"/>
        <v>0</v>
      </c>
    </row>
    <row r="27" spans="1:8">
      <c r="A27" s="102"/>
      <c r="B27" s="216" t="s">
        <v>170</v>
      </c>
      <c r="C27" s="217">
        <f>+C18+C12+C26</f>
        <v>0</v>
      </c>
      <c r="D27" s="217">
        <f t="shared" ref="D27:H27" si="11">+D18+D12+D26</f>
        <v>0</v>
      </c>
      <c r="E27" s="218">
        <f t="shared" si="11"/>
        <v>0</v>
      </c>
      <c r="F27" s="217">
        <f t="shared" si="11"/>
        <v>0</v>
      </c>
      <c r="G27" s="217">
        <f t="shared" si="11"/>
        <v>0</v>
      </c>
      <c r="H27" s="218">
        <f t="shared" si="11"/>
        <v>0</v>
      </c>
    </row>
    <row r="28" spans="1:8">
      <c r="A28" s="102"/>
      <c r="B28" s="102"/>
      <c r="C28" s="102"/>
      <c r="D28" s="102"/>
      <c r="E28" s="102"/>
      <c r="F28" s="102"/>
      <c r="G28" s="102"/>
      <c r="H28" s="102"/>
    </row>
    <row r="29" spans="1:8">
      <c r="A29" s="102"/>
      <c r="B29" s="106" t="s">
        <v>203</v>
      </c>
      <c r="C29" s="154"/>
      <c r="D29" s="154"/>
      <c r="E29" s="154" t="e">
        <f>+E27-'Est Situacion'!#REF!</f>
        <v>#REF!</v>
      </c>
      <c r="F29" s="154"/>
      <c r="G29" s="154"/>
      <c r="H29" s="154" t="e">
        <f>+H27-'Est Situacion'!#REF!</f>
        <v>#REF!</v>
      </c>
    </row>
  </sheetData>
  <sheetProtection password="DF8B" sheet="1" objects="1" scenarios="1"/>
  <hyperlinks>
    <hyperlink ref="E1" location="'Est Situacion'!A1" display="Volver" xr:uid="{00000000-0004-0000-1100-000000000000}"/>
  </hyperlinks>
  <pageMargins left="0.70866141732283472" right="0.70866141732283472" top="0.74803149606299213" bottom="0.74803149606299213" header="0.31496062992125984" footer="0.31496062992125984"/>
  <pageSetup scale="7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tint="-0.249977111117893"/>
    <pageSetUpPr fitToPage="1"/>
  </sheetPr>
  <dimension ref="A1:I43"/>
  <sheetViews>
    <sheetView showGridLines="0" topLeftCell="A25" workbookViewId="0">
      <selection activeCell="L20" sqref="L20"/>
    </sheetView>
  </sheetViews>
  <sheetFormatPr baseColWidth="10" defaultColWidth="11.46484375" defaultRowHeight="13.15"/>
  <cols>
    <col min="1" max="1" width="11.46484375" style="1"/>
    <col min="2" max="2" width="34.19921875" style="1" customWidth="1"/>
    <col min="3" max="3" width="13.19921875" style="1" customWidth="1"/>
    <col min="4" max="4" width="15" style="1" customWidth="1"/>
    <col min="5" max="5" width="13.19921875" style="1" customWidth="1"/>
    <col min="6" max="6" width="1.53125" style="1" customWidth="1"/>
    <col min="7" max="7" width="13.19921875" style="1" customWidth="1"/>
    <col min="8" max="8" width="15" style="1" customWidth="1"/>
    <col min="9" max="9" width="13.19921875" style="1" customWidth="1"/>
    <col min="10" max="16384" width="11.46484375" style="1"/>
  </cols>
  <sheetData>
    <row r="1" spans="1:9" ht="14.25">
      <c r="A1" s="182" t="s">
        <v>171</v>
      </c>
      <c r="B1" s="102"/>
      <c r="C1" s="102"/>
      <c r="D1" s="102"/>
      <c r="E1" s="183" t="s">
        <v>417</v>
      </c>
      <c r="F1" s="102"/>
      <c r="G1" s="102"/>
      <c r="H1" s="102"/>
      <c r="I1" s="102"/>
    </row>
    <row r="2" spans="1:9">
      <c r="A2" s="102" t="s">
        <v>181</v>
      </c>
      <c r="B2" s="102"/>
      <c r="C2" s="102"/>
      <c r="D2" s="102"/>
      <c r="E2" s="102"/>
      <c r="F2" s="102"/>
      <c r="G2" s="102"/>
      <c r="H2" s="102"/>
      <c r="I2" s="102"/>
    </row>
    <row r="3" spans="1:9">
      <c r="A3" s="102" t="s">
        <v>172</v>
      </c>
      <c r="B3" s="102"/>
      <c r="C3" s="102"/>
      <c r="D3" s="102"/>
      <c r="E3" s="102"/>
      <c r="F3" s="102"/>
      <c r="G3" s="102"/>
      <c r="H3" s="102"/>
      <c r="I3" s="102"/>
    </row>
    <row r="4" spans="1:9">
      <c r="A4" s="102"/>
      <c r="B4" s="102"/>
      <c r="C4" s="102"/>
      <c r="D4" s="102"/>
      <c r="E4" s="102"/>
      <c r="F4" s="102"/>
      <c r="G4" s="102"/>
      <c r="H4" s="102"/>
      <c r="I4" s="102"/>
    </row>
    <row r="5" spans="1:9">
      <c r="A5" s="102"/>
      <c r="B5" s="30"/>
      <c r="C5" s="2316" t="s">
        <v>177</v>
      </c>
      <c r="D5" s="2316"/>
      <c r="E5" s="26" t="s">
        <v>178</v>
      </c>
      <c r="F5" s="219"/>
      <c r="G5" s="2317" t="s">
        <v>177</v>
      </c>
      <c r="H5" s="2316"/>
      <c r="I5" s="26" t="s">
        <v>178</v>
      </c>
    </row>
    <row r="6" spans="1:9">
      <c r="A6" s="102"/>
      <c r="B6" s="32"/>
      <c r="C6" s="5" t="s">
        <v>179</v>
      </c>
      <c r="D6" s="5" t="s">
        <v>180</v>
      </c>
      <c r="E6" s="220">
        <f>+Datos!D6</f>
        <v>45657</v>
      </c>
      <c r="F6" s="221"/>
      <c r="G6" s="39" t="s">
        <v>179</v>
      </c>
      <c r="H6" s="5" t="s">
        <v>180</v>
      </c>
      <c r="I6" s="220">
        <f>+Datos!E6</f>
        <v>45291</v>
      </c>
    </row>
    <row r="7" spans="1:9">
      <c r="A7" s="102"/>
      <c r="B7" s="140" t="s">
        <v>173</v>
      </c>
      <c r="C7" s="102"/>
      <c r="D7" s="102"/>
      <c r="E7" s="140">
        <f>+C7+D7</f>
        <v>0</v>
      </c>
      <c r="F7" s="102"/>
      <c r="G7" s="119"/>
      <c r="H7" s="102"/>
      <c r="I7" s="140">
        <f>+G7+H7</f>
        <v>0</v>
      </c>
    </row>
    <row r="8" spans="1:9">
      <c r="A8" s="102"/>
      <c r="B8" s="140" t="s">
        <v>174</v>
      </c>
      <c r="C8" s="102"/>
      <c r="D8" s="102"/>
      <c r="E8" s="140">
        <f t="shared" ref="E8:E9" si="0">+C8+D8</f>
        <v>0</v>
      </c>
      <c r="F8" s="102"/>
      <c r="G8" s="119"/>
      <c r="H8" s="102"/>
      <c r="I8" s="140">
        <f t="shared" ref="I8:I9" si="1">+G8+H8</f>
        <v>0</v>
      </c>
    </row>
    <row r="9" spans="1:9">
      <c r="A9" s="102"/>
      <c r="B9" s="140" t="s">
        <v>175</v>
      </c>
      <c r="C9" s="102"/>
      <c r="D9" s="102"/>
      <c r="E9" s="140">
        <f t="shared" si="0"/>
        <v>0</v>
      </c>
      <c r="F9" s="102"/>
      <c r="G9" s="119"/>
      <c r="H9" s="102"/>
      <c r="I9" s="140">
        <f t="shared" si="1"/>
        <v>0</v>
      </c>
    </row>
    <row r="10" spans="1:9">
      <c r="A10" s="102"/>
      <c r="B10" s="174" t="s">
        <v>176</v>
      </c>
      <c r="C10" s="8">
        <f>+C8-C9</f>
        <v>0</v>
      </c>
      <c r="D10" s="8">
        <f t="shared" ref="D10:E10" si="2">+D8-D9</f>
        <v>0</v>
      </c>
      <c r="E10" s="174">
        <f t="shared" si="2"/>
        <v>0</v>
      </c>
      <c r="F10" s="149"/>
      <c r="G10" s="7">
        <f>+G8-G9</f>
        <v>0</v>
      </c>
      <c r="H10" s="8">
        <f t="shared" ref="H10" si="3">+H8-H9</f>
        <v>0</v>
      </c>
      <c r="I10" s="174">
        <f t="shared" ref="I10" si="4">+I8-I9</f>
        <v>0</v>
      </c>
    </row>
    <row r="11" spans="1:9">
      <c r="A11" s="102"/>
      <c r="B11" s="102"/>
      <c r="C11" s="102"/>
      <c r="D11" s="102"/>
      <c r="E11" s="102"/>
      <c r="F11" s="102"/>
      <c r="G11" s="102"/>
      <c r="H11" s="102"/>
      <c r="I11" s="102"/>
    </row>
    <row r="12" spans="1:9">
      <c r="A12" s="102" t="s">
        <v>182</v>
      </c>
      <c r="B12" s="102"/>
      <c r="C12" s="102"/>
      <c r="D12" s="102"/>
      <c r="E12" s="102"/>
      <c r="F12" s="102"/>
      <c r="G12" s="102"/>
      <c r="H12" s="102"/>
      <c r="I12" s="102"/>
    </row>
    <row r="13" spans="1:9">
      <c r="A13" s="102"/>
      <c r="B13" s="102"/>
      <c r="C13" s="102"/>
      <c r="D13" s="102"/>
      <c r="E13" s="102"/>
      <c r="F13" s="102"/>
      <c r="G13" s="102"/>
      <c r="H13" s="102"/>
      <c r="I13" s="102"/>
    </row>
    <row r="14" spans="1:9">
      <c r="A14" s="102"/>
      <c r="B14" s="197"/>
      <c r="C14" s="35"/>
      <c r="D14" s="198">
        <f>+Datos!D6</f>
        <v>45657</v>
      </c>
      <c r="E14" s="36"/>
      <c r="F14" s="102"/>
      <c r="G14" s="35"/>
      <c r="H14" s="198">
        <f>+Datos!E6</f>
        <v>45291</v>
      </c>
      <c r="I14" s="36"/>
    </row>
    <row r="15" spans="1:9" ht="23.25">
      <c r="A15" s="102"/>
      <c r="B15" s="222" t="s">
        <v>183</v>
      </c>
      <c r="C15" s="200" t="s">
        <v>161</v>
      </c>
      <c r="D15" s="200" t="s">
        <v>162</v>
      </c>
      <c r="E15" s="201" t="s">
        <v>160</v>
      </c>
      <c r="F15" s="102"/>
      <c r="G15" s="223" t="s">
        <v>161</v>
      </c>
      <c r="H15" s="200" t="s">
        <v>162</v>
      </c>
      <c r="I15" s="201" t="s">
        <v>160</v>
      </c>
    </row>
    <row r="16" spans="1:9">
      <c r="A16" s="102"/>
      <c r="B16" s="202"/>
      <c r="C16" s="203" t="s">
        <v>20</v>
      </c>
      <c r="D16" s="203" t="s">
        <v>20</v>
      </c>
      <c r="E16" s="204" t="s">
        <v>20</v>
      </c>
      <c r="F16" s="102"/>
      <c r="G16" s="224" t="s">
        <v>20</v>
      </c>
      <c r="H16" s="203" t="s">
        <v>20</v>
      </c>
      <c r="I16" s="204" t="s">
        <v>20</v>
      </c>
    </row>
    <row r="17" spans="1:9">
      <c r="A17" s="102"/>
      <c r="B17" s="102" t="s">
        <v>640</v>
      </c>
      <c r="C17" s="102"/>
      <c r="D17" s="102"/>
      <c r="E17" s="103">
        <f>+SUM(C17:D17)</f>
        <v>0</v>
      </c>
      <c r="F17" s="102"/>
      <c r="G17" s="102"/>
      <c r="H17" s="102"/>
      <c r="I17" s="103">
        <f>+SUM(G17:H17)</f>
        <v>0</v>
      </c>
    </row>
    <row r="18" spans="1:9">
      <c r="A18" s="102"/>
      <c r="B18" s="102"/>
      <c r="C18" s="102"/>
      <c r="D18" s="102"/>
      <c r="E18" s="103">
        <f t="shared" ref="E18:E21" si="5">+SUM(C18:D18)</f>
        <v>0</v>
      </c>
      <c r="F18" s="102"/>
      <c r="G18" s="102"/>
      <c r="H18" s="102"/>
      <c r="I18" s="103">
        <f t="shared" ref="I18:I21" si="6">+SUM(G18:H18)</f>
        <v>0</v>
      </c>
    </row>
    <row r="19" spans="1:9">
      <c r="A19" s="102"/>
      <c r="B19" s="102"/>
      <c r="C19" s="102"/>
      <c r="D19" s="102"/>
      <c r="E19" s="103">
        <f t="shared" si="5"/>
        <v>0</v>
      </c>
      <c r="F19" s="102"/>
      <c r="G19" s="102"/>
      <c r="H19" s="102"/>
      <c r="I19" s="103">
        <f t="shared" si="6"/>
        <v>0</v>
      </c>
    </row>
    <row r="20" spans="1:9">
      <c r="A20" s="102"/>
      <c r="B20" s="102"/>
      <c r="C20" s="102"/>
      <c r="D20" s="102"/>
      <c r="E20" s="103">
        <f t="shared" si="5"/>
        <v>0</v>
      </c>
      <c r="F20" s="102"/>
      <c r="G20" s="102"/>
      <c r="H20" s="102"/>
      <c r="I20" s="103">
        <f t="shared" si="6"/>
        <v>0</v>
      </c>
    </row>
    <row r="21" spans="1:9">
      <c r="A21" s="102"/>
      <c r="B21" s="102"/>
      <c r="C21" s="102"/>
      <c r="D21" s="102"/>
      <c r="E21" s="103">
        <f t="shared" si="5"/>
        <v>0</v>
      </c>
      <c r="F21" s="102"/>
      <c r="G21" s="102"/>
      <c r="H21" s="102"/>
      <c r="I21" s="103">
        <f t="shared" si="6"/>
        <v>0</v>
      </c>
    </row>
    <row r="22" spans="1:9">
      <c r="A22" s="102"/>
      <c r="B22" s="225" t="s">
        <v>109</v>
      </c>
      <c r="C22" s="8">
        <f>+SUM(C17:C21)</f>
        <v>0</v>
      </c>
      <c r="D22" s="8">
        <f t="shared" ref="D22:E22" si="7">+SUM(D17:D21)</f>
        <v>0</v>
      </c>
      <c r="E22" s="14">
        <f t="shared" si="7"/>
        <v>0</v>
      </c>
      <c r="F22" s="102"/>
      <c r="G22" s="8">
        <f>+SUM(G17:G21)</f>
        <v>0</v>
      </c>
      <c r="H22" s="8">
        <f t="shared" ref="H22" si="8">+SUM(H17:H21)</f>
        <v>0</v>
      </c>
      <c r="I22" s="14">
        <f t="shared" ref="I22" si="9">+SUM(I17:I21)</f>
        <v>0</v>
      </c>
    </row>
    <row r="23" spans="1:9">
      <c r="A23" s="102"/>
      <c r="B23" s="102"/>
      <c r="C23" s="102"/>
      <c r="D23" s="102"/>
      <c r="E23" s="102"/>
      <c r="F23" s="102"/>
      <c r="G23" s="102"/>
      <c r="H23" s="102"/>
      <c r="I23" s="102"/>
    </row>
    <row r="24" spans="1:9">
      <c r="A24" s="102"/>
      <c r="B24" s="102"/>
      <c r="C24" s="102"/>
      <c r="D24" s="102"/>
      <c r="E24" s="102"/>
      <c r="F24" s="102"/>
      <c r="G24" s="102"/>
      <c r="H24" s="102"/>
      <c r="I24" s="102"/>
    </row>
    <row r="25" spans="1:9">
      <c r="A25" s="102" t="s">
        <v>184</v>
      </c>
      <c r="B25" s="102"/>
      <c r="C25" s="102"/>
      <c r="D25" s="102"/>
      <c r="E25" s="102"/>
      <c r="F25" s="102"/>
      <c r="G25" s="102"/>
      <c r="H25" s="102"/>
      <c r="I25" s="102"/>
    </row>
    <row r="26" spans="1:9">
      <c r="A26" s="102"/>
      <c r="B26" s="102"/>
      <c r="C26" s="102"/>
      <c r="D26" s="102"/>
      <c r="E26" s="102"/>
      <c r="F26" s="102"/>
      <c r="G26" s="102"/>
      <c r="H26" s="102"/>
      <c r="I26" s="102"/>
    </row>
    <row r="27" spans="1:9">
      <c r="A27" s="102"/>
      <c r="B27" s="26" t="s">
        <v>185</v>
      </c>
      <c r="C27" s="2316" t="s">
        <v>177</v>
      </c>
      <c r="D27" s="2316"/>
      <c r="E27" s="26" t="s">
        <v>178</v>
      </c>
      <c r="F27" s="219"/>
      <c r="G27" s="2317" t="s">
        <v>177</v>
      </c>
      <c r="H27" s="2316"/>
      <c r="I27" s="26" t="s">
        <v>178</v>
      </c>
    </row>
    <row r="28" spans="1:9">
      <c r="A28" s="102"/>
      <c r="B28" s="32"/>
      <c r="C28" s="5" t="s">
        <v>179</v>
      </c>
      <c r="D28" s="5" t="s">
        <v>180</v>
      </c>
      <c r="E28" s="220">
        <f>+Datos!D6</f>
        <v>45657</v>
      </c>
      <c r="F28" s="221"/>
      <c r="G28" s="39" t="s">
        <v>179</v>
      </c>
      <c r="H28" s="5" t="s">
        <v>180</v>
      </c>
      <c r="I28" s="220">
        <f>+Datos!E6</f>
        <v>45291</v>
      </c>
    </row>
    <row r="29" spans="1:9">
      <c r="A29" s="102"/>
      <c r="B29" s="140" t="s">
        <v>173</v>
      </c>
      <c r="C29" s="102"/>
      <c r="D29" s="102"/>
      <c r="E29" s="140">
        <f>+C29+D29</f>
        <v>0</v>
      </c>
      <c r="F29" s="102"/>
      <c r="G29" s="119"/>
      <c r="H29" s="102"/>
      <c r="I29" s="140">
        <f>+G29+H29</f>
        <v>0</v>
      </c>
    </row>
    <row r="30" spans="1:9">
      <c r="A30" s="102"/>
      <c r="B30" s="140" t="s">
        <v>174</v>
      </c>
      <c r="C30" s="102"/>
      <c r="D30" s="102"/>
      <c r="E30" s="140">
        <f t="shared" ref="E30:E31" si="10">+C30+D30</f>
        <v>0</v>
      </c>
      <c r="F30" s="102"/>
      <c r="G30" s="119"/>
      <c r="H30" s="102"/>
      <c r="I30" s="140">
        <f t="shared" ref="I30:I31" si="11">+G30+H30</f>
        <v>0</v>
      </c>
    </row>
    <row r="31" spans="1:9">
      <c r="A31" s="102"/>
      <c r="B31" s="140" t="s">
        <v>175</v>
      </c>
      <c r="C31" s="102"/>
      <c r="D31" s="102"/>
      <c r="E31" s="140">
        <f t="shared" si="10"/>
        <v>0</v>
      </c>
      <c r="F31" s="102"/>
      <c r="G31" s="119"/>
      <c r="H31" s="102"/>
      <c r="I31" s="140">
        <f t="shared" si="11"/>
        <v>0</v>
      </c>
    </row>
    <row r="32" spans="1:9">
      <c r="A32" s="102"/>
      <c r="B32" s="174" t="s">
        <v>176</v>
      </c>
      <c r="C32" s="8">
        <f>+C30-C31</f>
        <v>0</v>
      </c>
      <c r="D32" s="8">
        <f t="shared" ref="D32" si="12">+D30-D31</f>
        <v>0</v>
      </c>
      <c r="E32" s="174">
        <f t="shared" ref="E32" si="13">+E30-E31</f>
        <v>0</v>
      </c>
      <c r="F32" s="149"/>
      <c r="G32" s="7">
        <f>+G30-G31</f>
        <v>0</v>
      </c>
      <c r="H32" s="8">
        <f t="shared" ref="H32" si="14">+H30-H31</f>
        <v>0</v>
      </c>
      <c r="I32" s="174">
        <f t="shared" ref="I32" si="15">+I30-I31</f>
        <v>0</v>
      </c>
    </row>
    <row r="33" spans="1:9" ht="8.25" customHeight="1">
      <c r="A33" s="102"/>
      <c r="B33" s="226"/>
      <c r="C33" s="227"/>
      <c r="D33" s="227"/>
      <c r="E33" s="226"/>
      <c r="F33" s="227"/>
      <c r="G33" s="228"/>
      <c r="H33" s="227"/>
      <c r="I33" s="226"/>
    </row>
    <row r="34" spans="1:9">
      <c r="A34" s="102"/>
      <c r="B34" s="26" t="s">
        <v>186</v>
      </c>
      <c r="C34" s="2316" t="s">
        <v>177</v>
      </c>
      <c r="D34" s="2316"/>
      <c r="E34" s="26" t="s">
        <v>178</v>
      </c>
      <c r="F34" s="219"/>
      <c r="G34" s="2317" t="s">
        <v>177</v>
      </c>
      <c r="H34" s="2316"/>
      <c r="I34" s="26" t="s">
        <v>178</v>
      </c>
    </row>
    <row r="35" spans="1:9">
      <c r="A35" s="102"/>
      <c r="B35" s="32"/>
      <c r="C35" s="5" t="s">
        <v>179</v>
      </c>
      <c r="D35" s="5" t="s">
        <v>180</v>
      </c>
      <c r="E35" s="220">
        <f>+Datos!D6</f>
        <v>45657</v>
      </c>
      <c r="F35" s="221"/>
      <c r="G35" s="39" t="s">
        <v>179</v>
      </c>
      <c r="H35" s="5" t="s">
        <v>180</v>
      </c>
      <c r="I35" s="220">
        <f>+Datos!E6</f>
        <v>45291</v>
      </c>
    </row>
    <row r="36" spans="1:9">
      <c r="A36" s="102"/>
      <c r="B36" s="140" t="s">
        <v>173</v>
      </c>
      <c r="C36" s="102"/>
      <c r="D36" s="102"/>
      <c r="E36" s="140">
        <f>+C36+D36</f>
        <v>0</v>
      </c>
      <c r="F36" s="102"/>
      <c r="G36" s="119"/>
      <c r="H36" s="102"/>
      <c r="I36" s="140">
        <f>+G36+H36</f>
        <v>0</v>
      </c>
    </row>
    <row r="37" spans="1:9">
      <c r="A37" s="102"/>
      <c r="B37" s="140" t="s">
        <v>174</v>
      </c>
      <c r="C37" s="102"/>
      <c r="D37" s="102"/>
      <c r="E37" s="140">
        <f t="shared" ref="E37:E38" si="16">+C37+D37</f>
        <v>0</v>
      </c>
      <c r="F37" s="102"/>
      <c r="G37" s="119"/>
      <c r="H37" s="102"/>
      <c r="I37" s="140">
        <f t="shared" ref="I37:I38" si="17">+G37+H37</f>
        <v>0</v>
      </c>
    </row>
    <row r="38" spans="1:9">
      <c r="A38" s="102"/>
      <c r="B38" s="140" t="s">
        <v>175</v>
      </c>
      <c r="C38" s="102"/>
      <c r="D38" s="102"/>
      <c r="E38" s="140">
        <f t="shared" si="16"/>
        <v>0</v>
      </c>
      <c r="F38" s="102"/>
      <c r="G38" s="119"/>
      <c r="H38" s="102"/>
      <c r="I38" s="140">
        <f t="shared" si="17"/>
        <v>0</v>
      </c>
    </row>
    <row r="39" spans="1:9">
      <c r="A39" s="102"/>
      <c r="B39" s="174" t="s">
        <v>176</v>
      </c>
      <c r="C39" s="8">
        <f>+C37-C38</f>
        <v>0</v>
      </c>
      <c r="D39" s="8">
        <f t="shared" ref="D39" si="18">+D37-D38</f>
        <v>0</v>
      </c>
      <c r="E39" s="174">
        <f t="shared" ref="E39" si="19">+E37-E38</f>
        <v>0</v>
      </c>
      <c r="F39" s="149"/>
      <c r="G39" s="7">
        <f>+G37-G38</f>
        <v>0</v>
      </c>
      <c r="H39" s="8">
        <f t="shared" ref="H39" si="20">+H37-H38</f>
        <v>0</v>
      </c>
      <c r="I39" s="174">
        <f t="shared" ref="I39" si="21">+I37-I38</f>
        <v>0</v>
      </c>
    </row>
    <row r="40" spans="1:9">
      <c r="A40" s="102"/>
      <c r="B40" s="102"/>
      <c r="C40" s="102"/>
      <c r="D40" s="102"/>
      <c r="E40" s="102"/>
      <c r="F40" s="102"/>
      <c r="G40" s="102"/>
      <c r="H40" s="102"/>
      <c r="I40" s="102"/>
    </row>
    <row r="41" spans="1:9">
      <c r="A41" s="102"/>
      <c r="B41" s="174" t="s">
        <v>617</v>
      </c>
      <c r="C41" s="8">
        <f>+C39+C32+C22+C10</f>
        <v>0</v>
      </c>
      <c r="D41" s="8">
        <f t="shared" ref="D41:E41" si="22">+D39+D32+D22+D10</f>
        <v>0</v>
      </c>
      <c r="E41" s="174">
        <f t="shared" si="22"/>
        <v>0</v>
      </c>
      <c r="F41" s="149"/>
      <c r="G41" s="7">
        <f t="shared" ref="G41:I41" si="23">+G39+G32+G22+G10</f>
        <v>0</v>
      </c>
      <c r="H41" s="8">
        <f t="shared" si="23"/>
        <v>0</v>
      </c>
      <c r="I41" s="174">
        <f t="shared" si="23"/>
        <v>0</v>
      </c>
    </row>
    <row r="42" spans="1:9">
      <c r="A42" s="102"/>
      <c r="B42" s="102"/>
      <c r="C42" s="102"/>
      <c r="D42" s="102"/>
      <c r="E42" s="102"/>
      <c r="F42" s="102"/>
      <c r="G42" s="102"/>
      <c r="H42" s="102"/>
      <c r="I42" s="102"/>
    </row>
    <row r="43" spans="1:9">
      <c r="A43" s="102"/>
      <c r="B43" s="106" t="s">
        <v>203</v>
      </c>
      <c r="C43" s="149"/>
      <c r="D43" s="154"/>
      <c r="E43" s="154" t="e">
        <f>+E41-'Est Situacion'!#REF!</f>
        <v>#REF!</v>
      </c>
      <c r="F43" s="154"/>
      <c r="G43" s="154"/>
      <c r="H43" s="154"/>
      <c r="I43" s="154" t="e">
        <f>I41-'Est Situacion'!#REF!</f>
        <v>#REF!</v>
      </c>
    </row>
  </sheetData>
  <sheetProtection password="DF8B" sheet="1" objects="1" scenarios="1"/>
  <mergeCells count="6">
    <mergeCell ref="C34:D34"/>
    <mergeCell ref="G34:H34"/>
    <mergeCell ref="C5:D5"/>
    <mergeCell ref="G5:H5"/>
    <mergeCell ref="C27:D27"/>
    <mergeCell ref="G27:H27"/>
  </mergeCells>
  <hyperlinks>
    <hyperlink ref="E1" location="'Est Situacion'!A1" display="Volver" xr:uid="{00000000-0004-0000-1200-000000000000}"/>
  </hyperlinks>
  <pageMargins left="0.70866141732283472" right="0.70866141732283472" top="0.74803149606299213" bottom="0.74803149606299213" header="0.31496062992125984" footer="0.31496062992125984"/>
  <pageSetup scale="7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0" tint="-0.249977111117893"/>
    <pageSetUpPr fitToPage="1"/>
  </sheetPr>
  <dimension ref="A1:F14"/>
  <sheetViews>
    <sheetView showGridLines="0" workbookViewId="0">
      <selection activeCell="D1" sqref="D1"/>
    </sheetView>
  </sheetViews>
  <sheetFormatPr baseColWidth="10" defaultColWidth="11.46484375" defaultRowHeight="11.65"/>
  <cols>
    <col min="1" max="1" width="11.46484375" style="28"/>
    <col min="2" max="2" width="36.796875" style="28" customWidth="1"/>
    <col min="3" max="16384" width="11.46484375" style="28"/>
  </cols>
  <sheetData>
    <row r="1" spans="1:6" ht="14.25">
      <c r="A1" s="182" t="s">
        <v>171</v>
      </c>
      <c r="B1" s="197"/>
      <c r="C1" s="197"/>
      <c r="D1" s="183" t="s">
        <v>417</v>
      </c>
      <c r="E1" s="197"/>
      <c r="F1" s="197"/>
    </row>
    <row r="2" spans="1:6">
      <c r="A2" s="197" t="s">
        <v>195</v>
      </c>
      <c r="B2" s="197"/>
      <c r="C2" s="197"/>
      <c r="D2" s="197"/>
      <c r="E2" s="197"/>
      <c r="F2" s="197"/>
    </row>
    <row r="3" spans="1:6">
      <c r="A3" s="197" t="s">
        <v>187</v>
      </c>
      <c r="B3" s="197"/>
      <c r="C3" s="197"/>
      <c r="D3" s="197"/>
      <c r="E3" s="197"/>
      <c r="F3" s="197"/>
    </row>
    <row r="4" spans="1:6">
      <c r="A4" s="197"/>
      <c r="B4" s="197"/>
      <c r="C4" s="197"/>
      <c r="D4" s="197"/>
      <c r="E4" s="197"/>
      <c r="F4" s="197"/>
    </row>
    <row r="5" spans="1:6">
      <c r="A5" s="197"/>
      <c r="B5" s="212"/>
      <c r="C5" s="2318">
        <f>+Datos!D6</f>
        <v>45657</v>
      </c>
      <c r="D5" s="2319"/>
      <c r="E5" s="2318">
        <f>+Datos!E6</f>
        <v>45291</v>
      </c>
      <c r="F5" s="2319"/>
    </row>
    <row r="6" spans="1:6">
      <c r="A6" s="197"/>
      <c r="B6" s="229"/>
      <c r="C6" s="2320" t="s">
        <v>193</v>
      </c>
      <c r="D6" s="2321"/>
      <c r="E6" s="2320" t="s">
        <v>194</v>
      </c>
      <c r="F6" s="2321"/>
    </row>
    <row r="7" spans="1:6">
      <c r="A7" s="197"/>
      <c r="B7" s="230" t="s">
        <v>190</v>
      </c>
      <c r="C7" s="230" t="s">
        <v>191</v>
      </c>
      <c r="D7" s="231" t="s">
        <v>192</v>
      </c>
      <c r="E7" s="230" t="s">
        <v>191</v>
      </c>
      <c r="F7" s="231" t="s">
        <v>192</v>
      </c>
    </row>
    <row r="8" spans="1:6">
      <c r="A8" s="197"/>
      <c r="B8" s="197"/>
      <c r="C8" s="232"/>
      <c r="D8" s="233"/>
      <c r="E8" s="232"/>
      <c r="F8" s="233"/>
    </row>
    <row r="9" spans="1:6">
      <c r="A9" s="197"/>
      <c r="B9" s="197"/>
      <c r="C9" s="232"/>
      <c r="D9" s="233"/>
      <c r="E9" s="232"/>
      <c r="F9" s="233"/>
    </row>
    <row r="10" spans="1:6">
      <c r="A10" s="197"/>
      <c r="B10" s="197"/>
      <c r="C10" s="232"/>
      <c r="D10" s="233"/>
      <c r="E10" s="232"/>
      <c r="F10" s="233"/>
    </row>
    <row r="11" spans="1:6">
      <c r="A11" s="197"/>
      <c r="B11" s="123" t="s">
        <v>188</v>
      </c>
      <c r="C11" s="234"/>
      <c r="D11" s="235"/>
      <c r="E11" s="234"/>
      <c r="F11" s="235"/>
    </row>
    <row r="12" spans="1:6">
      <c r="A12" s="197"/>
      <c r="B12" s="236" t="s">
        <v>189</v>
      </c>
      <c r="C12" s="35">
        <f t="shared" ref="C12:F12" si="0">+SUM(C8:C11)</f>
        <v>0</v>
      </c>
      <c r="D12" s="36">
        <f t="shared" si="0"/>
        <v>0</v>
      </c>
      <c r="E12" s="35">
        <f t="shared" si="0"/>
        <v>0</v>
      </c>
      <c r="F12" s="36">
        <f t="shared" si="0"/>
        <v>0</v>
      </c>
    </row>
    <row r="13" spans="1:6">
      <c r="A13" s="197"/>
      <c r="B13" s="197"/>
      <c r="C13" s="197"/>
      <c r="D13" s="197"/>
      <c r="E13" s="197"/>
      <c r="F13" s="197"/>
    </row>
    <row r="14" spans="1:6" ht="13.15">
      <c r="A14" s="197"/>
      <c r="B14" s="106" t="s">
        <v>203</v>
      </c>
      <c r="C14" s="210"/>
      <c r="D14" s="210" t="e">
        <f>+D12-'Est Situacion'!#REF!</f>
        <v>#REF!</v>
      </c>
      <c r="E14" s="210"/>
      <c r="F14" s="210"/>
    </row>
  </sheetData>
  <sheetProtection password="DF8B" sheet="1" objects="1" scenarios="1"/>
  <mergeCells count="4">
    <mergeCell ref="C5:D5"/>
    <mergeCell ref="E5:F5"/>
    <mergeCell ref="C6:D6"/>
    <mergeCell ref="E6:F6"/>
  </mergeCells>
  <hyperlinks>
    <hyperlink ref="D1" location="'Est Situacion'!A1" display="Volver" xr:uid="{00000000-0004-0000-1300-000000000000}"/>
  </hyperlinks>
  <pageMargins left="0.70866141732283472" right="0.70866141732283472" top="0.74803149606299213" bottom="0.74803149606299213" header="0.31496062992125984" footer="0.31496062992125984"/>
  <pageSetup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tabColor theme="3" tint="0.39997558519241921"/>
    <pageSetUpPr fitToPage="1"/>
  </sheetPr>
  <dimension ref="B1:P65"/>
  <sheetViews>
    <sheetView showGridLines="0" topLeftCell="C1" workbookViewId="0">
      <selection activeCell="M13" sqref="M9:M13"/>
    </sheetView>
  </sheetViews>
  <sheetFormatPr baseColWidth="10" defaultRowHeight="14.25"/>
  <cols>
    <col min="2" max="2" width="35" customWidth="1"/>
    <col min="3" max="11" width="11" customWidth="1"/>
    <col min="13" max="13" width="49.1328125" bestFit="1" customWidth="1"/>
  </cols>
  <sheetData>
    <row r="1" spans="2:16">
      <c r="B1" s="182" t="s">
        <v>197</v>
      </c>
      <c r="C1" s="182"/>
      <c r="D1" s="182"/>
      <c r="E1" s="182"/>
      <c r="F1" s="33"/>
      <c r="G1" s="182"/>
      <c r="H1" s="182"/>
      <c r="I1" s="183" t="s">
        <v>417</v>
      </c>
      <c r="J1" s="183"/>
      <c r="K1" s="183"/>
    </row>
    <row r="2" spans="2:16" s="1" customFormat="1" ht="13.15">
      <c r="B2" s="102"/>
      <c r="C2" s="102"/>
      <c r="D2" s="102"/>
      <c r="E2" s="102"/>
      <c r="F2" s="102"/>
      <c r="G2" s="102"/>
      <c r="H2" s="102"/>
      <c r="I2" s="102"/>
      <c r="J2" s="102"/>
      <c r="K2" s="102"/>
    </row>
    <row r="3" spans="2:16" s="1" customFormat="1" ht="13.5" thickBot="1">
      <c r="B3" s="102"/>
      <c r="C3" s="102"/>
      <c r="D3" s="102"/>
      <c r="E3" s="102"/>
      <c r="F3" s="102"/>
      <c r="G3" s="102"/>
      <c r="H3" s="102"/>
      <c r="I3" s="102"/>
      <c r="J3" s="102"/>
      <c r="K3" s="102"/>
    </row>
    <row r="4" spans="2:16" s="1" customFormat="1" ht="13.5" thickBot="1">
      <c r="B4" s="103" t="s">
        <v>574</v>
      </c>
      <c r="C4" s="102"/>
      <c r="D4" s="102"/>
      <c r="E4" s="102"/>
      <c r="F4" s="102"/>
      <c r="G4" s="102"/>
      <c r="H4" s="102"/>
      <c r="M4" s="589"/>
      <c r="N4" s="594">
        <f>+C6</f>
        <v>45657</v>
      </c>
      <c r="O4" s="594">
        <f>+F6</f>
        <v>45291</v>
      </c>
      <c r="P4" s="594">
        <f>+I6</f>
        <v>44927</v>
      </c>
    </row>
    <row r="5" spans="2:16" s="1" customFormat="1" ht="14.25" customHeight="1">
      <c r="B5" s="1271" t="s">
        <v>198</v>
      </c>
      <c r="C5" s="2322" t="s">
        <v>141</v>
      </c>
      <c r="D5" s="2323"/>
      <c r="E5" s="2324"/>
      <c r="F5" s="2322" t="s">
        <v>199</v>
      </c>
      <c r="G5" s="2323"/>
      <c r="H5" s="2324"/>
      <c r="I5" s="2322" t="s">
        <v>199</v>
      </c>
      <c r="J5" s="2323"/>
      <c r="K5" s="2324"/>
      <c r="M5" s="587"/>
      <c r="N5" s="573"/>
      <c r="O5" s="573"/>
      <c r="P5" s="573"/>
    </row>
    <row r="6" spans="2:16" s="1" customFormat="1" ht="13.15">
      <c r="B6" s="1272"/>
      <c r="C6" s="2325">
        <f>+Datos!D6</f>
        <v>45657</v>
      </c>
      <c r="D6" s="2326"/>
      <c r="E6" s="2327"/>
      <c r="F6" s="2325">
        <f>+Datos!E6</f>
        <v>45291</v>
      </c>
      <c r="G6" s="2326"/>
      <c r="H6" s="2327"/>
      <c r="I6" s="2325">
        <f>+Datos!F6</f>
        <v>44927</v>
      </c>
      <c r="J6" s="2326"/>
      <c r="K6" s="2327"/>
      <c r="M6" s="587"/>
      <c r="N6" s="573"/>
      <c r="O6" s="573"/>
      <c r="P6" s="573"/>
    </row>
    <row r="7" spans="2:16" s="1" customFormat="1" ht="26.25">
      <c r="B7" s="1272"/>
      <c r="C7" s="1273" t="s">
        <v>436</v>
      </c>
      <c r="D7" s="1274" t="s">
        <v>437</v>
      </c>
      <c r="E7" s="1274" t="s">
        <v>438</v>
      </c>
      <c r="F7" s="1273" t="s">
        <v>436</v>
      </c>
      <c r="G7" s="1274" t="s">
        <v>437</v>
      </c>
      <c r="H7" s="1275" t="s">
        <v>438</v>
      </c>
      <c r="I7" s="1273" t="s">
        <v>436</v>
      </c>
      <c r="J7" s="1274" t="s">
        <v>437</v>
      </c>
      <c r="K7" s="1275" t="s">
        <v>438</v>
      </c>
      <c r="M7" s="587"/>
      <c r="N7" s="573"/>
      <c r="O7" s="573"/>
      <c r="P7" s="573"/>
    </row>
    <row r="8" spans="2:16" s="1" customFormat="1" ht="13.15">
      <c r="B8" s="1276"/>
      <c r="C8" s="1270" t="s">
        <v>20</v>
      </c>
      <c r="D8" s="1221" t="s">
        <v>20</v>
      </c>
      <c r="E8" s="1221" t="s">
        <v>20</v>
      </c>
      <c r="F8" s="1270" t="s">
        <v>20</v>
      </c>
      <c r="G8" s="1221" t="s">
        <v>20</v>
      </c>
      <c r="H8" s="1277" t="s">
        <v>20</v>
      </c>
      <c r="I8" s="1270" t="s">
        <v>20</v>
      </c>
      <c r="J8" s="1221" t="s">
        <v>20</v>
      </c>
      <c r="K8" s="1277" t="s">
        <v>20</v>
      </c>
      <c r="M8" s="587"/>
      <c r="N8" s="573"/>
      <c r="O8" s="573"/>
      <c r="P8" s="573"/>
    </row>
    <row r="9" spans="2:16" s="1" customFormat="1" ht="13.15">
      <c r="B9" s="504" t="s">
        <v>1286</v>
      </c>
      <c r="C9" s="341">
        <f>+N5+N6+N7+N12+N11+N13</f>
        <v>0</v>
      </c>
      <c r="D9" s="332">
        <f>+N8</f>
        <v>0</v>
      </c>
      <c r="E9" s="332">
        <f t="shared" ref="E9:E18" si="0">+C9+D9</f>
        <v>0</v>
      </c>
      <c r="F9" s="341">
        <f>+O5+O6+O7+O12+O11</f>
        <v>0</v>
      </c>
      <c r="G9" s="332">
        <f>+O8</f>
        <v>0</v>
      </c>
      <c r="H9" s="342">
        <f t="shared" ref="H9:H18" si="1">+F9+G9</f>
        <v>0</v>
      </c>
      <c r="I9" s="341"/>
      <c r="J9" s="332"/>
      <c r="K9" s="342">
        <f t="shared" ref="K9:K18" si="2">+I9+J9</f>
        <v>0</v>
      </c>
      <c r="M9" s="587"/>
      <c r="N9" s="573"/>
      <c r="O9" s="573"/>
      <c r="P9" s="573"/>
    </row>
    <row r="10" spans="2:16" s="1" customFormat="1" ht="13.15">
      <c r="B10" s="140" t="s">
        <v>921</v>
      </c>
      <c r="C10" s="341">
        <f>+N14+N15</f>
        <v>0</v>
      </c>
      <c r="D10" s="332">
        <f>+N9</f>
        <v>0</v>
      </c>
      <c r="E10" s="332">
        <f t="shared" si="0"/>
        <v>0</v>
      </c>
      <c r="F10" s="341">
        <f>+O14+O15</f>
        <v>0</v>
      </c>
      <c r="G10" s="332">
        <f>+O9</f>
        <v>0</v>
      </c>
      <c r="H10" s="342">
        <f t="shared" si="1"/>
        <v>0</v>
      </c>
      <c r="I10" s="341"/>
      <c r="J10" s="332"/>
      <c r="K10" s="342">
        <f t="shared" si="2"/>
        <v>0</v>
      </c>
      <c r="M10" s="587"/>
      <c r="N10" s="573"/>
      <c r="O10" s="573"/>
      <c r="P10" s="573"/>
    </row>
    <row r="11" spans="2:16" s="1" customFormat="1" ht="13.15">
      <c r="B11" s="140" t="s">
        <v>923</v>
      </c>
      <c r="C11" s="341">
        <f>+N10</f>
        <v>0</v>
      </c>
      <c r="D11" s="332"/>
      <c r="E11" s="332">
        <f t="shared" si="0"/>
        <v>0</v>
      </c>
      <c r="F11" s="341">
        <f>+O10</f>
        <v>0</v>
      </c>
      <c r="G11" s="332"/>
      <c r="H11" s="342">
        <f t="shared" si="1"/>
        <v>0</v>
      </c>
      <c r="I11" s="341"/>
      <c r="J11" s="332"/>
      <c r="K11" s="342">
        <f t="shared" si="2"/>
        <v>0</v>
      </c>
      <c r="M11" s="587"/>
      <c r="N11" s="573"/>
      <c r="O11" s="573"/>
      <c r="P11" s="573"/>
    </row>
    <row r="12" spans="2:16" s="1" customFormat="1" ht="13.15">
      <c r="B12" s="140" t="s">
        <v>1287</v>
      </c>
      <c r="C12" s="341"/>
      <c r="D12" s="332"/>
      <c r="E12" s="332">
        <f t="shared" si="0"/>
        <v>0</v>
      </c>
      <c r="F12" s="341"/>
      <c r="G12" s="332"/>
      <c r="H12" s="342">
        <f t="shared" si="1"/>
        <v>0</v>
      </c>
      <c r="I12" s="341"/>
      <c r="J12" s="332"/>
      <c r="K12" s="342">
        <f t="shared" si="2"/>
        <v>0</v>
      </c>
      <c r="M12" s="587"/>
      <c r="N12" s="573"/>
      <c r="O12" s="573"/>
      <c r="P12" s="573"/>
    </row>
    <row r="13" spans="2:16" s="1" customFormat="1" ht="13.15">
      <c r="B13" s="140" t="s">
        <v>1288</v>
      </c>
      <c r="C13" s="341"/>
      <c r="D13" s="332"/>
      <c r="E13" s="332">
        <f t="shared" si="0"/>
        <v>0</v>
      </c>
      <c r="F13" s="341"/>
      <c r="G13" s="332"/>
      <c r="H13" s="342">
        <f t="shared" si="1"/>
        <v>0</v>
      </c>
      <c r="I13" s="341"/>
      <c r="J13" s="332"/>
      <c r="K13" s="342">
        <f t="shared" si="2"/>
        <v>0</v>
      </c>
      <c r="M13" s="587"/>
      <c r="N13" s="573"/>
      <c r="O13" s="591"/>
      <c r="P13" s="591"/>
    </row>
    <row r="14" spans="2:16" s="1" customFormat="1" ht="13.15">
      <c r="B14" s="140"/>
      <c r="C14" s="341"/>
      <c r="D14" s="332"/>
      <c r="E14" s="332">
        <f t="shared" si="0"/>
        <v>0</v>
      </c>
      <c r="F14" s="341"/>
      <c r="G14" s="332"/>
      <c r="H14" s="342">
        <f t="shared" si="1"/>
        <v>0</v>
      </c>
      <c r="I14" s="341"/>
      <c r="J14" s="332"/>
      <c r="K14" s="342">
        <f t="shared" si="2"/>
        <v>0</v>
      </c>
      <c r="M14" s="587"/>
      <c r="N14" s="573"/>
      <c r="O14" s="573"/>
      <c r="P14" s="573"/>
    </row>
    <row r="15" spans="2:16" s="1" customFormat="1" ht="13.5" thickBot="1">
      <c r="B15" s="505" t="s">
        <v>922</v>
      </c>
      <c r="C15" s="1284"/>
      <c r="D15" s="1285"/>
      <c r="E15" s="1285">
        <f t="shared" si="0"/>
        <v>0</v>
      </c>
      <c r="F15" s="1284"/>
      <c r="G15" s="1285"/>
      <c r="H15" s="1286">
        <f t="shared" si="1"/>
        <v>0</v>
      </c>
      <c r="I15" s="1284"/>
      <c r="J15" s="1285"/>
      <c r="K15" s="1286">
        <f t="shared" si="2"/>
        <v>0</v>
      </c>
      <c r="M15" s="587"/>
      <c r="N15" s="573"/>
      <c r="O15" s="573"/>
      <c r="P15" s="603"/>
    </row>
    <row r="16" spans="2:16" s="1" customFormat="1" ht="13.5" thickBot="1">
      <c r="B16" s="505" t="s">
        <v>792</v>
      </c>
      <c r="C16" s="1284"/>
      <c r="D16" s="1285"/>
      <c r="E16" s="1285">
        <f t="shared" si="0"/>
        <v>0</v>
      </c>
      <c r="F16" s="1284"/>
      <c r="G16" s="1285"/>
      <c r="H16" s="1286">
        <f t="shared" si="1"/>
        <v>0</v>
      </c>
      <c r="I16" s="1284"/>
      <c r="J16" s="1285"/>
      <c r="K16" s="1286">
        <f t="shared" si="2"/>
        <v>0</v>
      </c>
      <c r="M16" s="599"/>
      <c r="N16" s="574">
        <f>SUM(N5:N15)</f>
        <v>0</v>
      </c>
      <c r="O16" s="574">
        <f>SUM(O5:O15)</f>
        <v>0</v>
      </c>
      <c r="P16" s="572">
        <f>SUM(P5:P15)</f>
        <v>0</v>
      </c>
    </row>
    <row r="17" spans="2:16" s="1" customFormat="1" ht="13.5" thickBot="1">
      <c r="B17" s="505" t="s">
        <v>793</v>
      </c>
      <c r="C17" s="1284"/>
      <c r="D17" s="1285"/>
      <c r="E17" s="1285">
        <f t="shared" si="0"/>
        <v>0</v>
      </c>
      <c r="F17" s="1284"/>
      <c r="G17" s="1285"/>
      <c r="H17" s="1286">
        <f t="shared" si="1"/>
        <v>0</v>
      </c>
      <c r="I17" s="1284"/>
      <c r="J17" s="1285"/>
      <c r="K17" s="1286">
        <f t="shared" si="2"/>
        <v>0</v>
      </c>
    </row>
    <row r="18" spans="2:16" s="188" customFormat="1" ht="13.5" thickBot="1">
      <c r="B18" s="506" t="s">
        <v>794</v>
      </c>
      <c r="C18" s="499"/>
      <c r="D18" s="500"/>
      <c r="E18" s="500">
        <f t="shared" si="0"/>
        <v>0</v>
      </c>
      <c r="F18" s="499"/>
      <c r="G18" s="500"/>
      <c r="H18" s="507">
        <f t="shared" si="1"/>
        <v>0</v>
      </c>
      <c r="I18" s="499"/>
      <c r="J18" s="500"/>
      <c r="K18" s="507">
        <f t="shared" si="2"/>
        <v>0</v>
      </c>
      <c r="M18" s="589"/>
      <c r="N18" s="624"/>
      <c r="O18" s="624"/>
      <c r="P18" s="569"/>
    </row>
    <row r="19" spans="2:16" s="1" customFormat="1" ht="13.5" thickBot="1">
      <c r="B19" s="1242" t="s">
        <v>109</v>
      </c>
      <c r="C19" s="1278">
        <f t="shared" ref="C19:K19" si="3">+SUM(C9:C18)</f>
        <v>0</v>
      </c>
      <c r="D19" s="1278">
        <f t="shared" si="3"/>
        <v>0</v>
      </c>
      <c r="E19" s="1278">
        <f t="shared" si="3"/>
        <v>0</v>
      </c>
      <c r="F19" s="1278">
        <f t="shared" si="3"/>
        <v>0</v>
      </c>
      <c r="G19" s="1278">
        <f t="shared" si="3"/>
        <v>0</v>
      </c>
      <c r="H19" s="1278">
        <f t="shared" si="3"/>
        <v>0</v>
      </c>
      <c r="I19" s="1278">
        <f t="shared" si="3"/>
        <v>0</v>
      </c>
      <c r="J19" s="1278">
        <f t="shared" si="3"/>
        <v>0</v>
      </c>
      <c r="K19" s="1278">
        <f t="shared" si="3"/>
        <v>0</v>
      </c>
      <c r="M19" s="586"/>
      <c r="N19" s="574"/>
      <c r="O19" s="574"/>
      <c r="P19" s="572"/>
    </row>
    <row r="20" spans="2:16" s="1" customFormat="1" ht="13.15">
      <c r="B20" s="102"/>
      <c r="C20" s="341"/>
      <c r="D20" s="332"/>
      <c r="E20" s="332"/>
      <c r="F20" s="341"/>
      <c r="G20" s="341"/>
      <c r="H20" s="341"/>
      <c r="I20" s="341"/>
      <c r="J20" s="341"/>
      <c r="K20" s="341"/>
    </row>
    <row r="21" spans="2:16" s="1" customFormat="1" ht="13.5" thickBot="1">
      <c r="B21" s="102"/>
      <c r="C21" s="332"/>
      <c r="D21" s="332"/>
      <c r="E21" s="332"/>
      <c r="F21" s="341"/>
      <c r="G21" s="332"/>
      <c r="H21" s="342"/>
      <c r="I21" s="341"/>
      <c r="J21" s="332"/>
      <c r="K21" s="342"/>
    </row>
    <row r="22" spans="2:16" s="1" customFormat="1" ht="13.5" thickBot="1">
      <c r="B22" s="570" t="s">
        <v>203</v>
      </c>
      <c r="C22" s="596"/>
      <c r="D22" s="596"/>
      <c r="E22" s="598"/>
      <c r="F22" s="597"/>
      <c r="G22" s="597"/>
      <c r="H22" s="598"/>
      <c r="I22" s="597"/>
      <c r="J22" s="597"/>
      <c r="K22" s="598">
        <f>+K19-'Est Situacion'!I12</f>
        <v>0</v>
      </c>
    </row>
    <row r="23" spans="2:16" s="1" customFormat="1" ht="13.15">
      <c r="B23" s="102"/>
      <c r="C23" s="102"/>
      <c r="D23" s="102"/>
      <c r="E23" s="102"/>
      <c r="F23" s="102"/>
      <c r="G23" s="102"/>
      <c r="H23" s="102"/>
    </row>
    <row r="24" spans="2:16" s="1" customFormat="1" ht="13.15">
      <c r="B24" s="102"/>
      <c r="C24" s="102"/>
      <c r="D24" s="102"/>
      <c r="E24" s="102"/>
      <c r="F24" s="102"/>
      <c r="G24" s="102"/>
      <c r="H24" s="102"/>
    </row>
    <row r="25" spans="2:16" s="1" customFormat="1" ht="26.25">
      <c r="B25" s="1279" t="s">
        <v>795</v>
      </c>
      <c r="C25" s="1279" t="s">
        <v>141</v>
      </c>
      <c r="D25" s="1279"/>
      <c r="E25" s="1279"/>
      <c r="F25" s="102"/>
      <c r="G25" s="102"/>
      <c r="H25" s="102"/>
    </row>
    <row r="26" spans="2:16" s="1" customFormat="1" ht="13.15">
      <c r="B26" s="1280"/>
      <c r="C26" s="1281">
        <f>+Datos!D6</f>
        <v>45657</v>
      </c>
      <c r="D26" s="1281"/>
      <c r="E26" s="1281"/>
      <c r="F26" s="102"/>
      <c r="G26" s="102"/>
      <c r="H26" s="102"/>
    </row>
    <row r="27" spans="2:16" s="1" customFormat="1" ht="13.15">
      <c r="B27" s="1280"/>
      <c r="C27" s="1282"/>
      <c r="D27" s="1282"/>
      <c r="E27" s="1282" t="s">
        <v>438</v>
      </c>
      <c r="F27" s="102"/>
      <c r="G27" s="102"/>
      <c r="H27" s="102"/>
    </row>
    <row r="28" spans="2:16" s="1" customFormat="1" ht="13.15">
      <c r="B28" s="1283" t="s">
        <v>796</v>
      </c>
      <c r="C28" s="1222" t="s">
        <v>223</v>
      </c>
      <c r="D28" s="1222"/>
      <c r="E28" s="1222" t="s">
        <v>20</v>
      </c>
      <c r="F28" s="102"/>
      <c r="G28" s="102"/>
      <c r="H28" s="102"/>
    </row>
    <row r="29" spans="2:16" s="1" customFormat="1" ht="13.15">
      <c r="B29" s="508"/>
      <c r="C29" s="508"/>
      <c r="D29" s="508"/>
      <c r="E29" s="508">
        <f t="shared" ref="E29:E31" si="4">+C29+D29</f>
        <v>0</v>
      </c>
      <c r="F29" s="102"/>
      <c r="G29" s="102"/>
      <c r="H29" s="102"/>
    </row>
    <row r="30" spans="2:16" s="1" customFormat="1" ht="13.15">
      <c r="B30" s="501"/>
      <c r="C30" s="501"/>
      <c r="D30" s="501"/>
      <c r="E30" s="501">
        <f t="shared" si="4"/>
        <v>0</v>
      </c>
      <c r="F30" s="102"/>
      <c r="G30" s="102"/>
      <c r="H30" s="102"/>
    </row>
    <row r="31" spans="2:16" s="1" customFormat="1" ht="13.15">
      <c r="B31" s="501"/>
      <c r="C31" s="501"/>
      <c r="D31" s="501"/>
      <c r="E31" s="501">
        <f t="shared" si="4"/>
        <v>0</v>
      </c>
      <c r="F31" s="102"/>
      <c r="G31" s="102"/>
      <c r="H31" s="102"/>
    </row>
    <row r="32" spans="2:16" s="1" customFormat="1" ht="13.15">
      <c r="B32" s="502"/>
      <c r="C32" s="502"/>
      <c r="D32" s="502"/>
      <c r="E32" s="502">
        <f t="shared" ref="E32" si="5">+C32+D32</f>
        <v>0</v>
      </c>
      <c r="F32" s="102"/>
      <c r="G32" s="102"/>
      <c r="H32" s="102"/>
    </row>
    <row r="33" spans="2:11" s="1" customFormat="1" ht="13.15">
      <c r="B33" s="102"/>
      <c r="C33" s="102"/>
      <c r="D33" s="102"/>
      <c r="E33" s="503">
        <f>SUM(E29:E32)</f>
        <v>0</v>
      </c>
      <c r="F33" s="103" t="str">
        <f>IF(E33=E18,"OK","Falso")</f>
        <v>OK</v>
      </c>
      <c r="G33" s="102"/>
      <c r="H33" s="102"/>
    </row>
    <row r="34" spans="2:11" s="1" customFormat="1" ht="13.15">
      <c r="B34" s="102"/>
      <c r="C34" s="102"/>
      <c r="D34" s="102"/>
      <c r="E34" s="332"/>
      <c r="F34" s="102"/>
      <c r="G34" s="102"/>
      <c r="H34" s="102"/>
    </row>
    <row r="35" spans="2:11" s="1" customFormat="1" ht="13.15">
      <c r="B35" s="102"/>
      <c r="C35" s="102"/>
      <c r="D35" s="102"/>
      <c r="E35" s="102"/>
      <c r="F35" s="102"/>
      <c r="G35" s="102"/>
      <c r="H35" s="102"/>
    </row>
    <row r="36" spans="2:11" s="1" customFormat="1" ht="13.15">
      <c r="B36" s="103" t="s">
        <v>575</v>
      </c>
      <c r="C36" s="102"/>
      <c r="D36" s="102"/>
      <c r="E36" s="102"/>
      <c r="F36" s="102"/>
      <c r="G36" s="102"/>
      <c r="H36" s="102"/>
    </row>
    <row r="37" spans="2:11" s="1" customFormat="1" ht="13.15">
      <c r="B37" s="1271" t="s">
        <v>198</v>
      </c>
      <c r="C37" s="2322" t="s">
        <v>141</v>
      </c>
      <c r="D37" s="2323"/>
      <c r="E37" s="2324"/>
      <c r="F37" s="2322" t="s">
        <v>199</v>
      </c>
      <c r="G37" s="2323"/>
      <c r="H37" s="2324"/>
      <c r="I37" s="2322" t="s">
        <v>199</v>
      </c>
      <c r="J37" s="2323"/>
      <c r="K37" s="2324"/>
    </row>
    <row r="38" spans="2:11" s="1" customFormat="1" ht="13.15">
      <c r="B38" s="1272"/>
      <c r="C38" s="2325">
        <f>+Datos!D6</f>
        <v>45657</v>
      </c>
      <c r="D38" s="2326"/>
      <c r="E38" s="2327"/>
      <c r="F38" s="2325">
        <f>+Datos!E6</f>
        <v>45291</v>
      </c>
      <c r="G38" s="2326"/>
      <c r="H38" s="2327"/>
      <c r="I38" s="2325">
        <f>+Datos!F6</f>
        <v>44927</v>
      </c>
      <c r="J38" s="2326"/>
      <c r="K38" s="2327"/>
    </row>
    <row r="39" spans="2:11" s="1" customFormat="1" ht="26.25">
      <c r="B39" s="1272"/>
      <c r="C39" s="1273" t="s">
        <v>436</v>
      </c>
      <c r="D39" s="1274" t="s">
        <v>437</v>
      </c>
      <c r="E39" s="1274" t="s">
        <v>438</v>
      </c>
      <c r="F39" s="1273" t="s">
        <v>436</v>
      </c>
      <c r="G39" s="1274" t="s">
        <v>437</v>
      </c>
      <c r="H39" s="1275" t="s">
        <v>438</v>
      </c>
      <c r="I39" s="1273" t="s">
        <v>436</v>
      </c>
      <c r="J39" s="1274" t="s">
        <v>437</v>
      </c>
      <c r="K39" s="1275" t="s">
        <v>438</v>
      </c>
    </row>
    <row r="40" spans="2:11" s="1" customFormat="1" ht="13.15">
      <c r="B40" s="1276"/>
      <c r="C40" s="1270" t="s">
        <v>20</v>
      </c>
      <c r="D40" s="1221" t="s">
        <v>20</v>
      </c>
      <c r="E40" s="1221" t="s">
        <v>20</v>
      </c>
      <c r="F40" s="1270" t="s">
        <v>20</v>
      </c>
      <c r="G40" s="1221" t="s">
        <v>20</v>
      </c>
      <c r="H40" s="1277" t="s">
        <v>20</v>
      </c>
      <c r="I40" s="1270" t="s">
        <v>20</v>
      </c>
      <c r="J40" s="1221" t="s">
        <v>20</v>
      </c>
      <c r="K40" s="1277" t="s">
        <v>20</v>
      </c>
    </row>
    <row r="41" spans="2:11" s="1" customFormat="1" ht="13.15">
      <c r="B41" s="102" t="s">
        <v>865</v>
      </c>
      <c r="C41" s="332">
        <f>+N18</f>
        <v>0</v>
      </c>
      <c r="D41" s="332"/>
      <c r="E41" s="332">
        <f>+C41+D41</f>
        <v>0</v>
      </c>
      <c r="F41" s="332">
        <f>+O19</f>
        <v>0</v>
      </c>
      <c r="G41" s="332"/>
      <c r="H41" s="332">
        <f>+F41+G41</f>
        <v>0</v>
      </c>
      <c r="I41" s="332">
        <f>+P18</f>
        <v>0</v>
      </c>
      <c r="J41" s="332"/>
      <c r="K41" s="332">
        <f>+I41+J41</f>
        <v>0</v>
      </c>
    </row>
    <row r="42" spans="2:11" s="1" customFormat="1" ht="13.15">
      <c r="B42" s="124" t="s">
        <v>375</v>
      </c>
      <c r="C42" s="332"/>
      <c r="D42" s="332"/>
      <c r="E42" s="332">
        <f t="shared" ref="E42:E43" si="6">+C42+D42</f>
        <v>0</v>
      </c>
      <c r="F42" s="332"/>
      <c r="G42" s="332"/>
      <c r="H42" s="332">
        <f t="shared" ref="H42:H43" si="7">+F42+G42</f>
        <v>0</v>
      </c>
      <c r="I42" s="332"/>
      <c r="J42" s="332"/>
      <c r="K42" s="332">
        <f t="shared" ref="K42:K43" si="8">+I42+J42</f>
        <v>0</v>
      </c>
    </row>
    <row r="43" spans="2:11" s="1" customFormat="1" ht="13.15">
      <c r="B43" s="124"/>
      <c r="C43" s="332"/>
      <c r="D43" s="332"/>
      <c r="E43" s="332">
        <f t="shared" si="6"/>
        <v>0</v>
      </c>
      <c r="F43" s="332"/>
      <c r="G43" s="332"/>
      <c r="H43" s="332">
        <f t="shared" si="7"/>
        <v>0</v>
      </c>
      <c r="I43" s="332"/>
      <c r="J43" s="332"/>
      <c r="K43" s="332">
        <f t="shared" si="8"/>
        <v>0</v>
      </c>
    </row>
    <row r="44" spans="2:11" s="1" customFormat="1" ht="13.15">
      <c r="B44" s="1242" t="s">
        <v>200</v>
      </c>
      <c r="C44" s="1278">
        <f>+SUM(C41:C43)</f>
        <v>0</v>
      </c>
      <c r="D44" s="1278">
        <f t="shared" ref="D44:H44" si="9">+SUM(D41:D43)</f>
        <v>0</v>
      </c>
      <c r="E44" s="1278">
        <f t="shared" si="9"/>
        <v>0</v>
      </c>
      <c r="F44" s="1278">
        <f t="shared" si="9"/>
        <v>0</v>
      </c>
      <c r="G44" s="1278">
        <f t="shared" si="9"/>
        <v>0</v>
      </c>
      <c r="H44" s="1278">
        <f t="shared" si="9"/>
        <v>0</v>
      </c>
      <c r="I44" s="1278">
        <f t="shared" ref="I44:K44" si="10">+SUM(I41:I43)</f>
        <v>0</v>
      </c>
      <c r="J44" s="1278">
        <f t="shared" si="10"/>
        <v>0</v>
      </c>
      <c r="K44" s="1278">
        <f t="shared" si="10"/>
        <v>0</v>
      </c>
    </row>
    <row r="45" spans="2:11" s="1" customFormat="1" ht="13.15">
      <c r="B45" s="102"/>
      <c r="C45" s="332"/>
      <c r="D45" s="332"/>
      <c r="E45" s="332"/>
      <c r="F45" s="332"/>
      <c r="G45" s="332"/>
      <c r="H45" s="332"/>
      <c r="I45" s="332"/>
      <c r="J45" s="332"/>
      <c r="K45" s="332"/>
    </row>
    <row r="46" spans="2:11" s="1" customFormat="1" ht="13.15">
      <c r="B46" s="106" t="s">
        <v>203</v>
      </c>
      <c r="C46" s="343"/>
      <c r="D46" s="343"/>
      <c r="E46" s="343">
        <f>+E12+E44-'Est Situacion'!G28</f>
        <v>0</v>
      </c>
      <c r="F46" s="344"/>
      <c r="G46" s="344"/>
      <c r="H46" s="344">
        <f>+H12+H44-'Est Situacion'!H28</f>
        <v>0</v>
      </c>
      <c r="I46" s="344"/>
      <c r="J46" s="344"/>
      <c r="K46" s="344">
        <f>+K44-'Est Situacion'!I28</f>
        <v>0</v>
      </c>
    </row>
    <row r="47" spans="2:11" s="1" customFormat="1" ht="13.15">
      <c r="B47" s="102"/>
      <c r="C47" s="332"/>
      <c r="D47" s="332"/>
      <c r="E47" s="332"/>
      <c r="F47" s="332"/>
      <c r="G47" s="332"/>
      <c r="H47" s="332"/>
      <c r="I47" s="332"/>
      <c r="J47" s="332"/>
      <c r="K47" s="332"/>
    </row>
    <row r="48" spans="2:11" s="2" customFormat="1" ht="13.15">
      <c r="B48" s="106" t="s">
        <v>577</v>
      </c>
      <c r="C48" s="343"/>
      <c r="D48" s="343"/>
      <c r="E48" s="343"/>
      <c r="F48" s="343"/>
      <c r="G48" s="343"/>
      <c r="H48" s="343"/>
      <c r="I48" s="343"/>
      <c r="J48" s="343"/>
      <c r="K48" s="343"/>
    </row>
    <row r="49" spans="2:9" s="1" customFormat="1">
      <c r="B49" s="183" t="s">
        <v>576</v>
      </c>
      <c r="C49" s="102"/>
      <c r="D49" s="102"/>
      <c r="E49" s="102"/>
      <c r="F49" s="102"/>
      <c r="G49" s="102"/>
      <c r="H49" s="102"/>
    </row>
    <row r="50" spans="2:9" s="1" customFormat="1" ht="13.15">
      <c r="C50" s="644">
        <f>+C44+E19</f>
        <v>0</v>
      </c>
      <c r="F50" s="644">
        <f>+F44+H19</f>
        <v>0</v>
      </c>
      <c r="I50" s="644">
        <f>+I44+K19</f>
        <v>0</v>
      </c>
    </row>
    <row r="51" spans="2:9" s="1" customFormat="1" ht="13.15"/>
    <row r="52" spans="2:9" s="1" customFormat="1" ht="13.15"/>
    <row r="53" spans="2:9" s="1" customFormat="1" ht="13.15"/>
    <row r="54" spans="2:9" s="1" customFormat="1" ht="13.15"/>
    <row r="55" spans="2:9" s="1" customFormat="1" ht="13.15"/>
    <row r="56" spans="2:9" s="1" customFormat="1" ht="13.15"/>
    <row r="57" spans="2:9" s="1" customFormat="1" ht="13.15"/>
    <row r="58" spans="2:9" s="1" customFormat="1" ht="13.15"/>
    <row r="59" spans="2:9" s="1" customFormat="1" ht="13.15"/>
    <row r="60" spans="2:9" s="1" customFormat="1" ht="13.15"/>
    <row r="61" spans="2:9" s="1" customFormat="1" ht="13.15"/>
    <row r="62" spans="2:9" s="1" customFormat="1" ht="13.15"/>
    <row r="63" spans="2:9" s="1" customFormat="1" ht="13.15"/>
    <row r="64" spans="2:9" s="1" customFormat="1" ht="13.15"/>
    <row r="65" s="1" customFormat="1" ht="13.15"/>
  </sheetData>
  <mergeCells count="12">
    <mergeCell ref="C37:E37"/>
    <mergeCell ref="C38:E38"/>
    <mergeCell ref="F37:H37"/>
    <mergeCell ref="F38:H38"/>
    <mergeCell ref="I37:K37"/>
    <mergeCell ref="I38:K38"/>
    <mergeCell ref="C5:E5"/>
    <mergeCell ref="C6:E6"/>
    <mergeCell ref="F5:H5"/>
    <mergeCell ref="F6:H6"/>
    <mergeCell ref="I5:K5"/>
    <mergeCell ref="I6:K6"/>
  </mergeCells>
  <hyperlinks>
    <hyperlink ref="I1" location="'Est Situacion'!A1" display="Volver" xr:uid="{00000000-0004-0000-1400-000000000000}"/>
    <hyperlink ref="B49" location="'Nº36 b) Deterioro'!A1" display="IR A DETERIORO" xr:uid="{00000000-0004-0000-1400-000001000000}"/>
  </hyperlinks>
  <pageMargins left="0.70866141732283472" right="0.70866141732283472" top="0.74803149606299213" bottom="0.74803149606299213" header="0.31496062992125984" footer="0.31496062992125984"/>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9617-FD5D-4761-B1B4-5E5C6936F4FD}">
  <dimension ref="A1:E159"/>
  <sheetViews>
    <sheetView topLeftCell="A3" zoomScale="110" zoomScaleNormal="110" workbookViewId="0">
      <selection activeCell="E14" sqref="E14"/>
    </sheetView>
  </sheetViews>
  <sheetFormatPr baseColWidth="10" defaultColWidth="11.53125" defaultRowHeight="14.25"/>
  <cols>
    <col min="1" max="1" width="4" style="211" customWidth="1"/>
    <col min="2" max="2" width="57" style="211" bestFit="1" customWidth="1"/>
    <col min="3" max="3" width="15.796875" style="211" bestFit="1" customWidth="1"/>
    <col min="4" max="4" width="29.6640625" style="211" bestFit="1" customWidth="1"/>
    <col min="5" max="5" width="32.19921875" style="182" customWidth="1"/>
    <col min="6" max="16384" width="11.53125" style="211"/>
  </cols>
  <sheetData>
    <row r="1" spans="1:5">
      <c r="A1" s="656"/>
      <c r="B1" s="655" t="s">
        <v>934</v>
      </c>
      <c r="C1" s="657"/>
    </row>
    <row r="2" spans="1:5">
      <c r="A2" s="656"/>
      <c r="B2" s="655" t="s">
        <v>1345</v>
      </c>
      <c r="C2" s="657"/>
    </row>
    <row r="3" spans="1:5">
      <c r="A3" s="656"/>
      <c r="B3" s="655" t="s">
        <v>804</v>
      </c>
      <c r="C3" s="657"/>
    </row>
    <row r="4" spans="1:5">
      <c r="A4" s="656"/>
      <c r="B4" s="655" t="s">
        <v>1642</v>
      </c>
      <c r="C4" s="657"/>
    </row>
    <row r="5" spans="1:5" ht="14.65" thickBot="1">
      <c r="A5" s="656"/>
      <c r="B5" s="656"/>
      <c r="C5" s="657"/>
    </row>
    <row r="6" spans="1:5">
      <c r="B6" s="658"/>
      <c r="C6" s="1166" t="s">
        <v>1473</v>
      </c>
      <c r="D6" s="659"/>
      <c r="E6" s="1726" t="s">
        <v>1535</v>
      </c>
    </row>
    <row r="7" spans="1:5">
      <c r="B7" s="661" t="s">
        <v>806</v>
      </c>
      <c r="C7" s="661" t="s">
        <v>1638</v>
      </c>
      <c r="D7" s="662" t="s">
        <v>1468</v>
      </c>
      <c r="E7" s="1727" t="s">
        <v>1536</v>
      </c>
    </row>
    <row r="8" spans="1:5" ht="3.6" customHeight="1" thickBot="1">
      <c r="B8" s="664"/>
      <c r="C8" s="664"/>
      <c r="D8" s="665"/>
      <c r="E8" s="1728"/>
    </row>
    <row r="9" spans="1:5" ht="3.6" customHeight="1">
      <c r="B9" s="668"/>
      <c r="C9" s="668"/>
      <c r="D9" s="669"/>
      <c r="E9" s="1770"/>
    </row>
    <row r="10" spans="1:5">
      <c r="B10" s="672" t="s">
        <v>807</v>
      </c>
      <c r="C10" s="673"/>
      <c r="D10" s="674"/>
      <c r="E10" s="688"/>
    </row>
    <row r="11" spans="1:5" ht="0.6" customHeight="1">
      <c r="B11" s="677"/>
      <c r="C11" s="668"/>
      <c r="D11" s="669"/>
      <c r="E11" s="1770"/>
    </row>
    <row r="12" spans="1:5">
      <c r="B12" s="672" t="s">
        <v>808</v>
      </c>
      <c r="C12" s="673"/>
      <c r="D12" s="674"/>
      <c r="E12" s="688"/>
    </row>
    <row r="13" spans="1:5" ht="3" customHeight="1" thickBot="1">
      <c r="B13" s="677"/>
      <c r="C13" s="668"/>
      <c r="D13" s="669"/>
      <c r="E13" s="1770"/>
    </row>
    <row r="14" spans="1:5" ht="25.9" thickBot="1">
      <c r="B14" s="1201" t="str">
        <f>+'Bce 8 Columnas'!B7</f>
        <v xml:space="preserve">1-1-01-001 Caja </v>
      </c>
      <c r="C14" s="1203">
        <v>50000000</v>
      </c>
      <c r="D14" s="1204">
        <v>35000000</v>
      </c>
      <c r="E14" s="1771" t="s">
        <v>1537</v>
      </c>
    </row>
    <row r="15" spans="1:5" ht="14.65" thickBot="1">
      <c r="B15" s="1604" t="str">
        <f>+'Bce 8 Columnas'!B8</f>
        <v>1-1-01-002 Caja Moneda Extranjera</v>
      </c>
      <c r="C15" s="1212">
        <v>60000000</v>
      </c>
      <c r="D15" s="1213" t="s">
        <v>1031</v>
      </c>
      <c r="E15" s="1772"/>
    </row>
    <row r="16" spans="1:5" ht="25.9" thickBot="1">
      <c r="B16" s="1201" t="str">
        <f>+'Bce 8 Columnas'!B9</f>
        <v>1-1-01-003 Fondo Fijo</v>
      </c>
      <c r="C16" s="1203">
        <v>1000000</v>
      </c>
      <c r="D16" s="1204">
        <v>300000</v>
      </c>
      <c r="E16" s="1773" t="s">
        <v>1539</v>
      </c>
    </row>
    <row r="17" spans="2:5" ht="38.65" thickBot="1">
      <c r="B17" s="1613" t="str">
        <f>+'Bce 8 Columnas'!B10</f>
        <v>1-1-03-002 Banco Santander</v>
      </c>
      <c r="C17" s="1614">
        <v>40000000</v>
      </c>
      <c r="D17" s="1615">
        <v>15000000</v>
      </c>
      <c r="E17" s="1771" t="s">
        <v>1540</v>
      </c>
    </row>
    <row r="18" spans="2:5">
      <c r="B18" s="1604" t="str">
        <f>+'Bce 8 Columnas'!B11</f>
        <v>1-1-03-002 Banco Chile moneda Extranjera</v>
      </c>
      <c r="C18" s="1212">
        <v>50000000</v>
      </c>
      <c r="D18" s="1213" t="s">
        <v>1031</v>
      </c>
      <c r="E18" s="1772" t="s">
        <v>1031</v>
      </c>
    </row>
    <row r="19" spans="2:5">
      <c r="B19" s="678" t="str">
        <f>+'Bce 8 Columnas'!B12</f>
        <v>1-1-03-006 Bancos Estado</v>
      </c>
      <c r="C19" s="679">
        <v>10000000</v>
      </c>
      <c r="D19" s="696" t="s">
        <v>1538</v>
      </c>
      <c r="E19" s="1774"/>
    </row>
    <row r="20" spans="2:5">
      <c r="B20" s="678" t="str">
        <f>+'Bce 8 Columnas'!B13</f>
        <v>1-1-03-007 Efectivo en transito</v>
      </c>
      <c r="C20" s="679">
        <v>2500000</v>
      </c>
      <c r="D20" s="696" t="s">
        <v>1032</v>
      </c>
      <c r="E20" s="1774" t="s">
        <v>1032</v>
      </c>
    </row>
    <row r="21" spans="2:5" ht="14.65" thickBot="1">
      <c r="B21" s="1604" t="str">
        <f>+'Bce 8 Columnas'!B14</f>
        <v>1-1-04-002 Depósitos a Plazo vencimiento 30 días</v>
      </c>
      <c r="C21" s="1616">
        <v>120000000</v>
      </c>
      <c r="D21" s="1213" t="s">
        <v>1031</v>
      </c>
      <c r="E21" s="1772" t="s">
        <v>1031</v>
      </c>
    </row>
    <row r="22" spans="2:5">
      <c r="B22" s="672" t="s">
        <v>809</v>
      </c>
      <c r="C22" s="687">
        <v>333500000</v>
      </c>
      <c r="D22" s="674"/>
      <c r="E22" s="688"/>
    </row>
    <row r="23" spans="2:5">
      <c r="B23" s="677"/>
      <c r="C23" s="668"/>
      <c r="D23" s="669"/>
      <c r="E23" s="1770"/>
    </row>
    <row r="24" spans="2:5">
      <c r="B24" s="678" t="str">
        <f>+'Bce 8 Columnas'!B15</f>
        <v>1-1-04-004 Acciones Lan</v>
      </c>
      <c r="C24" s="679">
        <v>100000000</v>
      </c>
      <c r="D24" s="696" t="s">
        <v>1032</v>
      </c>
      <c r="E24" s="1774" t="s">
        <v>1032</v>
      </c>
    </row>
    <row r="25" spans="2:5">
      <c r="B25" s="1604" t="str">
        <f>+'Bce 8 Columnas'!B16</f>
        <v>1-1-04-005 Acciones Tesla</v>
      </c>
      <c r="C25" s="1212">
        <v>40000000</v>
      </c>
      <c r="D25" s="1213" t="s">
        <v>1031</v>
      </c>
      <c r="E25" s="1772" t="s">
        <v>1031</v>
      </c>
    </row>
    <row r="26" spans="2:5">
      <c r="B26" s="1604" t="str">
        <f>+'Bce 8 Columnas'!B17</f>
        <v>1-1-04-006 Acciones Bitcoin</v>
      </c>
      <c r="C26" s="1212">
        <v>80000000</v>
      </c>
      <c r="D26" s="1213" t="s">
        <v>1031</v>
      </c>
      <c r="E26" s="1772" t="s">
        <v>1031</v>
      </c>
    </row>
    <row r="27" spans="2:5">
      <c r="B27" s="1604" t="str">
        <f>+'Bce 8 Columnas'!B18</f>
        <v>1-1-04-007 Acciones Cardano</v>
      </c>
      <c r="C27" s="1212">
        <v>120000000</v>
      </c>
      <c r="D27" s="1213" t="s">
        <v>1031</v>
      </c>
      <c r="E27" s="1772" t="s">
        <v>1031</v>
      </c>
    </row>
    <row r="28" spans="2:5">
      <c r="B28" s="1604" t="str">
        <f>+'Bce 8 Columnas'!B19</f>
        <v>1-1-05-007 Forward USD</v>
      </c>
      <c r="C28" s="1212">
        <v>50540000</v>
      </c>
      <c r="D28" s="1213" t="s">
        <v>1031</v>
      </c>
      <c r="E28" s="1772" t="s">
        <v>1031</v>
      </c>
    </row>
    <row r="29" spans="2:5" ht="14.65" thickBot="1">
      <c r="B29" s="1604" t="str">
        <f>+'Bce 8 Columnas'!B20</f>
        <v>1-1-04-003 Cuotas de Fondos Mutuos  180 días</v>
      </c>
      <c r="C29" s="1616">
        <v>160000000</v>
      </c>
      <c r="D29" s="1213" t="s">
        <v>1031</v>
      </c>
      <c r="E29" s="1772" t="s">
        <v>1031</v>
      </c>
    </row>
    <row r="30" spans="2:5">
      <c r="B30" s="672" t="s">
        <v>810</v>
      </c>
      <c r="C30" s="687">
        <v>550540000</v>
      </c>
      <c r="D30" s="674"/>
      <c r="E30" s="688"/>
    </row>
    <row r="31" spans="2:5">
      <c r="B31" s="677"/>
      <c r="C31" s="668"/>
      <c r="D31" s="669"/>
      <c r="E31" s="1770"/>
    </row>
    <row r="32" spans="2:5">
      <c r="B32" s="678" t="str">
        <f>+'Bce 8 Columnas'!B21</f>
        <v>1-1-06-001 Garantías Otorgadas</v>
      </c>
      <c r="C32" s="679">
        <v>3000000</v>
      </c>
      <c r="D32" s="696" t="s">
        <v>1032</v>
      </c>
      <c r="E32" s="1774" t="s">
        <v>1032</v>
      </c>
    </row>
    <row r="33" spans="2:5">
      <c r="B33" s="678" t="str">
        <f>+'Bce 8 Columnas'!B22</f>
        <v>1-1-06-002 Boletas en Garantias</v>
      </c>
      <c r="C33" s="679">
        <v>4000000</v>
      </c>
      <c r="D33" s="696" t="s">
        <v>1032</v>
      </c>
      <c r="E33" s="1774" t="s">
        <v>1032</v>
      </c>
    </row>
    <row r="34" spans="2:5">
      <c r="B34" s="678" t="str">
        <f>+'Bce 8 Columnas'!B23</f>
        <v>1-1-06-003 Gastos Anticipados por Arriendos Anticipados</v>
      </c>
      <c r="C34" s="679">
        <v>5000000</v>
      </c>
      <c r="D34" s="696" t="s">
        <v>1032</v>
      </c>
      <c r="E34" s="1774" t="s">
        <v>1032</v>
      </c>
    </row>
    <row r="35" spans="2:5">
      <c r="B35" s="678" t="str">
        <f>+'Bce 8 Columnas'!B24</f>
        <v>1-1-06-004 Gastos Anticipados Acceso a Internet</v>
      </c>
      <c r="C35" s="679">
        <v>5000000</v>
      </c>
      <c r="D35" s="696" t="s">
        <v>1032</v>
      </c>
      <c r="E35" s="1774" t="s">
        <v>1032</v>
      </c>
    </row>
    <row r="36" spans="2:5" ht="14.65" thickBot="1">
      <c r="B36" s="678" t="str">
        <f>+'Bce 8 Columnas'!B25</f>
        <v>1-1-06-005 Gastos Anticipados Correo</v>
      </c>
      <c r="C36" s="1612">
        <v>10000000</v>
      </c>
      <c r="D36" s="696" t="s">
        <v>1032</v>
      </c>
      <c r="E36" s="1774" t="s">
        <v>1032</v>
      </c>
    </row>
    <row r="37" spans="2:5">
      <c r="B37" s="672" t="s">
        <v>811</v>
      </c>
      <c r="C37" s="687">
        <v>27000000</v>
      </c>
      <c r="D37" s="674"/>
      <c r="E37" s="688"/>
    </row>
    <row r="38" spans="2:5">
      <c r="B38" s="677"/>
      <c r="C38" s="668"/>
      <c r="D38" s="669"/>
      <c r="E38" s="1770"/>
    </row>
    <row r="39" spans="2:5">
      <c r="B39" s="678" t="str">
        <f>+'Bce 8 Columnas'!B26</f>
        <v xml:space="preserve">1-1-09-001 Cuentas por Cobrar </v>
      </c>
      <c r="C39" s="679">
        <v>40000000</v>
      </c>
      <c r="D39" s="696" t="s">
        <v>1032</v>
      </c>
      <c r="E39" s="1774" t="s">
        <v>1032</v>
      </c>
    </row>
    <row r="40" spans="2:5">
      <c r="B40" s="678" t="str">
        <f>+'Bce 8 Columnas'!B27</f>
        <v>1-1-09-002 Documentos por Cobrar</v>
      </c>
      <c r="C40" s="679">
        <v>50000000</v>
      </c>
      <c r="D40" s="696" t="s">
        <v>1032</v>
      </c>
      <c r="E40" s="1774" t="s">
        <v>1032</v>
      </c>
    </row>
    <row r="41" spans="2:5">
      <c r="B41" s="678" t="str">
        <f>+'Bce 8 Columnas'!B28</f>
        <v xml:space="preserve">1-1-09-003 Préstamos por Cambio de Residencia </v>
      </c>
      <c r="C41" s="679">
        <v>124000000</v>
      </c>
      <c r="D41" s="696" t="s">
        <v>1032</v>
      </c>
      <c r="E41" s="1774" t="s">
        <v>1032</v>
      </c>
    </row>
    <row r="42" spans="2:5" ht="14.65" thickBot="1">
      <c r="B42" s="678" t="str">
        <f>+'Bce 8 Columnas'!B29</f>
        <v>1-1-09-004 Documentos Protestados</v>
      </c>
      <c r="C42" s="679">
        <v>30000000</v>
      </c>
      <c r="D42" s="696" t="s">
        <v>1032</v>
      </c>
      <c r="E42" s="1774" t="s">
        <v>1032</v>
      </c>
    </row>
    <row r="43" spans="2:5" ht="38.65" thickBot="1">
      <c r="B43" s="1201" t="str">
        <f>+'Bce 8 Columnas'!B30</f>
        <v>1-1-09-005 Fondos por Rendir</v>
      </c>
      <c r="C43" s="1203">
        <v>40000000</v>
      </c>
      <c r="D43" s="1204">
        <v>13000000</v>
      </c>
      <c r="E43" s="1773" t="s">
        <v>1542</v>
      </c>
    </row>
    <row r="44" spans="2:5" ht="38.65" thickBot="1">
      <c r="B44" s="1613" t="str">
        <f>+'Bce 8 Columnas'!B31</f>
        <v>1-1-09-006 Clientes</v>
      </c>
      <c r="C44" s="1614">
        <v>300210000</v>
      </c>
      <c r="D44" s="1615">
        <v>270210000</v>
      </c>
      <c r="E44" s="1773" t="s">
        <v>1543</v>
      </c>
    </row>
    <row r="45" spans="2:5">
      <c r="B45" s="1604" t="str">
        <f>+'Bce 8 Columnas'!B32</f>
        <v>1-1-09-007 Deterioro Acumulado de Cuentas por Cobrar</v>
      </c>
      <c r="C45" s="1212">
        <v>-39021000</v>
      </c>
      <c r="D45" s="1213" t="s">
        <v>1031</v>
      </c>
      <c r="E45" s="1772" t="s">
        <v>1031</v>
      </c>
    </row>
    <row r="46" spans="2:5" ht="14.65" thickBot="1">
      <c r="B46" s="678" t="str">
        <f>+'Bce 8 Columnas'!B33</f>
        <v>1-1-09-008 Anticipos de Deudores</v>
      </c>
      <c r="C46" s="685">
        <v>-20000000</v>
      </c>
      <c r="D46" s="696" t="s">
        <v>1032</v>
      </c>
      <c r="E46" s="1774" t="s">
        <v>1032</v>
      </c>
    </row>
    <row r="47" spans="2:5" ht="25.5">
      <c r="B47" s="672" t="s">
        <v>812</v>
      </c>
      <c r="C47" s="687">
        <v>525189000</v>
      </c>
      <c r="D47" s="674"/>
      <c r="E47" s="688"/>
    </row>
    <row r="48" spans="2:5" ht="8.4499999999999993" customHeight="1">
      <c r="B48" s="677"/>
      <c r="C48" s="668"/>
      <c r="D48" s="669"/>
      <c r="E48" s="1770"/>
    </row>
    <row r="49" spans="2:5">
      <c r="B49" s="1604" t="str">
        <f>+'Bce 8 Columnas'!B34</f>
        <v xml:space="preserve">1-1-12-001 Productos Terminados </v>
      </c>
      <c r="C49" s="1212">
        <v>300000000</v>
      </c>
      <c r="D49" s="1213" t="s">
        <v>1031</v>
      </c>
      <c r="E49" s="1772" t="s">
        <v>1031</v>
      </c>
    </row>
    <row r="50" spans="2:5">
      <c r="B50" s="1604" t="str">
        <f>+'Bce 8 Columnas'!B35</f>
        <v xml:space="preserve">1-1-12-002 Existencias de Materias Primas </v>
      </c>
      <c r="C50" s="1212">
        <v>400000000</v>
      </c>
      <c r="D50" s="1213" t="s">
        <v>1031</v>
      </c>
      <c r="E50" s="1772" t="s">
        <v>1031</v>
      </c>
    </row>
    <row r="51" spans="2:5" ht="14.65" thickBot="1">
      <c r="B51" s="1604" t="str">
        <f>+'Bce 8 Columnas'!B36</f>
        <v xml:space="preserve">1-1-12-003 Existencia de Productos Elaborados </v>
      </c>
      <c r="C51" s="1616">
        <v>65550000</v>
      </c>
      <c r="D51" s="1213" t="s">
        <v>1031</v>
      </c>
      <c r="E51" s="1772" t="s">
        <v>1031</v>
      </c>
    </row>
    <row r="52" spans="2:5">
      <c r="B52" s="672" t="s">
        <v>814</v>
      </c>
      <c r="C52" s="687">
        <v>765550000</v>
      </c>
      <c r="D52" s="674"/>
      <c r="E52" s="688"/>
    </row>
    <row r="53" spans="2:5" ht="3.6" customHeight="1">
      <c r="B53" s="677"/>
      <c r="C53" s="668"/>
      <c r="D53" s="669"/>
      <c r="E53" s="1770"/>
    </row>
    <row r="54" spans="2:5">
      <c r="B54" s="678" t="str">
        <f>+'Bce 8 Columnas'!B38</f>
        <v>1-1-15-001 Pagos Provisionales Mensuales</v>
      </c>
      <c r="C54" s="679">
        <v>132500000</v>
      </c>
      <c r="D54" s="696" t="s">
        <v>1033</v>
      </c>
      <c r="E54" s="1774" t="s">
        <v>1033</v>
      </c>
    </row>
    <row r="55" spans="2:5">
      <c r="B55" s="678" t="str">
        <f>+'Bce 8 Columnas'!B39</f>
        <v>1-1-15-002 Crédito Activo Fijo</v>
      </c>
      <c r="C55" s="679">
        <v>15000000</v>
      </c>
      <c r="D55" s="696" t="s">
        <v>1032</v>
      </c>
      <c r="E55" s="1774" t="s">
        <v>1032</v>
      </c>
    </row>
    <row r="56" spans="2:5">
      <c r="B56" s="678" t="str">
        <f>+'Bce 8 Columnas'!B40</f>
        <v>1-1-15-003 Crédito Sence</v>
      </c>
      <c r="C56" s="679">
        <v>3000000</v>
      </c>
      <c r="D56" s="696" t="s">
        <v>1032</v>
      </c>
      <c r="E56" s="1774" t="s">
        <v>1032</v>
      </c>
    </row>
    <row r="57" spans="2:5">
      <c r="B57" s="672" t="s">
        <v>815</v>
      </c>
      <c r="C57" s="687">
        <v>280500000</v>
      </c>
      <c r="D57" s="674"/>
      <c r="E57" s="688"/>
    </row>
    <row r="58" spans="2:5" ht="4.8" customHeight="1">
      <c r="B58" s="677"/>
      <c r="C58" s="668"/>
      <c r="D58" s="669"/>
      <c r="E58" s="1770"/>
    </row>
    <row r="59" spans="2:5" ht="14.65" thickBot="1">
      <c r="B59" s="1604" t="str">
        <f>+'Bce 8 Columnas'!B37</f>
        <v>1-1-13-001 Animales Vivos</v>
      </c>
      <c r="C59" s="1214">
        <v>94760000</v>
      </c>
      <c r="D59" s="1213" t="s">
        <v>1031</v>
      </c>
      <c r="E59" s="1772" t="s">
        <v>1031</v>
      </c>
    </row>
    <row r="60" spans="2:5">
      <c r="B60" s="672" t="s">
        <v>980</v>
      </c>
      <c r="C60" s="687">
        <v>94760000</v>
      </c>
      <c r="D60" s="674"/>
      <c r="E60" s="688"/>
    </row>
    <row r="61" spans="2:5">
      <c r="B61" s="677"/>
      <c r="C61" s="668"/>
      <c r="D61" s="669"/>
      <c r="E61" s="1770"/>
    </row>
    <row r="62" spans="2:5">
      <c r="B62" s="1604" t="str">
        <f>+'Bce 8 Columnas'!B41</f>
        <v>1-2-01-001 Empresa Relacionada FC</v>
      </c>
      <c r="C62" s="1212">
        <v>195000000</v>
      </c>
      <c r="D62" s="1213" t="s">
        <v>1031</v>
      </c>
      <c r="E62" s="1772" t="s">
        <v>1031</v>
      </c>
    </row>
    <row r="63" spans="2:5">
      <c r="B63" s="1604" t="str">
        <f>+'Bce 8 Columnas'!B42</f>
        <v>1-2-01-002 Empresa Relacionada B&amp;N</v>
      </c>
      <c r="C63" s="1212">
        <v>185000000</v>
      </c>
      <c r="D63" s="1213" t="s">
        <v>1031</v>
      </c>
      <c r="E63" s="1772" t="s">
        <v>1031</v>
      </c>
    </row>
    <row r="64" spans="2:5">
      <c r="B64" s="1604" t="str">
        <f>+'Bce 8 Columnas'!B43</f>
        <v>1-2-01-003 Empresa Relacionada CasaIdeas</v>
      </c>
      <c r="C64" s="1212">
        <v>13500000</v>
      </c>
      <c r="D64" s="1213" t="s">
        <v>1031</v>
      </c>
      <c r="E64" s="1772" t="s">
        <v>1031</v>
      </c>
    </row>
    <row r="65" spans="2:5">
      <c r="B65" s="1604" t="str">
        <f>+'Bce 8 Columnas'!B44</f>
        <v>1-2-01-004 Empresa Relacionada Falabella</v>
      </c>
      <c r="C65" s="1212">
        <v>300000000</v>
      </c>
      <c r="D65" s="1213" t="s">
        <v>1031</v>
      </c>
      <c r="E65" s="1772" t="s">
        <v>1031</v>
      </c>
    </row>
    <row r="66" spans="2:5">
      <c r="B66" s="1604" t="str">
        <f>+'Bce 8 Columnas'!B45</f>
        <v>1-2-01-005 Empresa Relacionada Paris</v>
      </c>
      <c r="C66" s="1212">
        <v>117250000</v>
      </c>
      <c r="D66" s="1213" t="s">
        <v>1031</v>
      </c>
      <c r="E66" s="1772" t="s">
        <v>1031</v>
      </c>
    </row>
    <row r="67" spans="2:5">
      <c r="B67" s="1604" t="str">
        <f>+'Bce 8 Columnas'!B46</f>
        <v>1-2-01-006 Empresa Relacionada Lun</v>
      </c>
      <c r="C67" s="1212">
        <v>31500000</v>
      </c>
      <c r="D67" s="1213" t="s">
        <v>1031</v>
      </c>
      <c r="E67" s="1772" t="s">
        <v>1031</v>
      </c>
    </row>
    <row r="68" spans="2:5" ht="14.65" thickBot="1">
      <c r="B68" s="1604" t="str">
        <f>+'Bce 8 Columnas'!B47</f>
        <v>1-2-01-007 Empresa Relacionada Roma</v>
      </c>
      <c r="C68" s="1616">
        <v>78000000</v>
      </c>
      <c r="D68" s="1213" t="s">
        <v>1031</v>
      </c>
      <c r="E68" s="1772" t="s">
        <v>1031</v>
      </c>
    </row>
    <row r="69" spans="2:5">
      <c r="B69" s="672" t="s">
        <v>984</v>
      </c>
      <c r="C69" s="687">
        <v>920250000</v>
      </c>
      <c r="D69" s="674"/>
      <c r="E69" s="688"/>
    </row>
    <row r="70" spans="2:5" ht="4.25" customHeight="1">
      <c r="B70" s="677"/>
      <c r="C70" s="668"/>
      <c r="D70" s="669"/>
      <c r="E70" s="1770"/>
    </row>
    <row r="71" spans="2:5">
      <c r="B71" s="1604" t="str">
        <f>+'Bce 8 Columnas'!B48</f>
        <v>1-2-03-001 Software Contable</v>
      </c>
      <c r="C71" s="1212">
        <v>1500000</v>
      </c>
      <c r="D71" s="1213" t="s">
        <v>1031</v>
      </c>
      <c r="E71" s="1772" t="s">
        <v>1031</v>
      </c>
    </row>
    <row r="72" spans="2:5">
      <c r="B72" s="1604" t="str">
        <f>+'Bce 8 Columnas'!B49</f>
        <v>1-2-03-002 Derechos de Agua</v>
      </c>
      <c r="C72" s="1212">
        <v>1</v>
      </c>
      <c r="D72" s="1213" t="s">
        <v>1031</v>
      </c>
      <c r="E72" s="1772" t="s">
        <v>1031</v>
      </c>
    </row>
    <row r="73" spans="2:5">
      <c r="B73" s="1604" t="str">
        <f>+'Bce 8 Columnas'!B50</f>
        <v>1-2-03-003 Servidumbre de Paso</v>
      </c>
      <c r="C73" s="1212">
        <v>7000000</v>
      </c>
      <c r="D73" s="1213" t="s">
        <v>1031</v>
      </c>
      <c r="E73" s="1772" t="s">
        <v>1031</v>
      </c>
    </row>
    <row r="74" spans="2:5">
      <c r="B74" s="1604" t="str">
        <f>+'Bce 8 Columnas'!B51</f>
        <v>1-2-03-004 Marca Colegio de Contadores</v>
      </c>
      <c r="C74" s="1212">
        <v>0</v>
      </c>
      <c r="D74" s="1213" t="s">
        <v>1031</v>
      </c>
      <c r="E74" s="1772" t="s">
        <v>1031</v>
      </c>
    </row>
    <row r="75" spans="2:5">
      <c r="B75" s="672" t="s">
        <v>822</v>
      </c>
      <c r="C75" s="687">
        <v>8500001</v>
      </c>
      <c r="D75" s="674"/>
      <c r="E75" s="688"/>
    </row>
    <row r="76" spans="2:5" ht="4.25" customHeight="1">
      <c r="B76" s="677"/>
      <c r="C76" s="668"/>
      <c r="D76" s="669"/>
      <c r="E76" s="1770"/>
    </row>
    <row r="77" spans="2:5">
      <c r="B77" s="678" t="str">
        <f>+'Bce 8 Columnas'!B52</f>
        <v>1-2-05-001 Plusvalia</v>
      </c>
      <c r="C77" s="679">
        <v>407500000</v>
      </c>
      <c r="D77" s="696" t="s">
        <v>1032</v>
      </c>
      <c r="E77" s="1774" t="s">
        <v>1032</v>
      </c>
    </row>
    <row r="78" spans="2:5" ht="14.65" thickBot="1">
      <c r="B78" s="678" t="str">
        <f>+'Bce 8 Columnas'!B53</f>
        <v>1-2-05-002 Amortización Plusvalia</v>
      </c>
      <c r="C78" s="685">
        <v>-22500000</v>
      </c>
      <c r="D78" s="696" t="s">
        <v>1032</v>
      </c>
      <c r="E78" s="1774" t="s">
        <v>1032</v>
      </c>
    </row>
    <row r="79" spans="2:5">
      <c r="B79" s="672" t="s">
        <v>992</v>
      </c>
      <c r="C79" s="687">
        <f>+C77+C78</f>
        <v>385000000</v>
      </c>
      <c r="D79" s="674"/>
      <c r="E79" s="688"/>
    </row>
    <row r="80" spans="2:5">
      <c r="B80" s="677"/>
      <c r="C80" s="668"/>
      <c r="D80" s="669"/>
      <c r="E80" s="1770"/>
    </row>
    <row r="81" spans="2:5">
      <c r="B81" s="1604" t="str">
        <f>+'Bce 8 Columnas'!B54</f>
        <v xml:space="preserve">1-2-10-001 Maquinarias y Equipos </v>
      </c>
      <c r="C81" s="1212">
        <v>15000000</v>
      </c>
      <c r="D81" s="1213" t="s">
        <v>1031</v>
      </c>
      <c r="E81" s="1772" t="s">
        <v>1031</v>
      </c>
    </row>
    <row r="82" spans="2:5">
      <c r="B82" s="1604" t="str">
        <f>+'Bce 8 Columnas'!B55</f>
        <v>1-2-10-002 Muebles y Enseres</v>
      </c>
      <c r="C82" s="1212">
        <v>20000000</v>
      </c>
      <c r="D82" s="1213" t="s">
        <v>1031</v>
      </c>
      <c r="E82" s="1772" t="s">
        <v>1031</v>
      </c>
    </row>
    <row r="83" spans="2:5">
      <c r="B83" s="1604" t="str">
        <f>+'Bce 8 Columnas'!B56</f>
        <v xml:space="preserve">1-2-10-003 Vehículos </v>
      </c>
      <c r="C83" s="1212">
        <v>30000000</v>
      </c>
      <c r="D83" s="1213" t="s">
        <v>1031</v>
      </c>
      <c r="E83" s="1772" t="s">
        <v>1031</v>
      </c>
    </row>
    <row r="84" spans="2:5">
      <c r="B84" s="1604" t="str">
        <f>+'Bce 8 Columnas'!B57</f>
        <v>1-2-10-004 Edificaciones</v>
      </c>
      <c r="C84" s="1212">
        <v>200000000</v>
      </c>
      <c r="D84" s="1213" t="s">
        <v>1031</v>
      </c>
      <c r="E84" s="1772" t="s">
        <v>1031</v>
      </c>
    </row>
    <row r="85" spans="2:5">
      <c r="B85" s="1604" t="str">
        <f>+'Bce 8 Columnas'!B59</f>
        <v>1-2-10-006 Otras Máquinas y Equipos</v>
      </c>
      <c r="C85" s="1212">
        <v>300000000</v>
      </c>
      <c r="D85" s="1213" t="s">
        <v>1031</v>
      </c>
      <c r="E85" s="1772" t="s">
        <v>1031</v>
      </c>
    </row>
    <row r="86" spans="2:5">
      <c r="B86" s="1604" t="str">
        <f>+'Bce 8 Columnas'!B60</f>
        <v>1-2-10-007 Terrenos</v>
      </c>
      <c r="C86" s="1212">
        <v>500000000</v>
      </c>
      <c r="D86" s="1213" t="s">
        <v>1031</v>
      </c>
      <c r="E86" s="1772" t="s">
        <v>1031</v>
      </c>
    </row>
    <row r="87" spans="2:5">
      <c r="B87" s="1604" t="str">
        <f>+'Bce 8 Columnas'!B62</f>
        <v>1-2-10-008 Dep. Acum. de Edificaciones</v>
      </c>
      <c r="C87" s="1212">
        <v>-60000000</v>
      </c>
      <c r="D87" s="1213" t="s">
        <v>1031</v>
      </c>
      <c r="E87" s="1772" t="s">
        <v>1031</v>
      </c>
    </row>
    <row r="88" spans="2:5">
      <c r="B88" s="1604" t="str">
        <f>+'Bce 8 Columnas'!B63</f>
        <v xml:space="preserve">1-2-10-009 Dep. Acum. de Maquinarias y Equipos </v>
      </c>
      <c r="C88" s="1212">
        <v>-5000000</v>
      </c>
      <c r="D88" s="1213" t="s">
        <v>1031</v>
      </c>
      <c r="E88" s="1772" t="s">
        <v>1031</v>
      </c>
    </row>
    <row r="89" spans="2:5">
      <c r="B89" s="1604" t="str">
        <f>+'Bce 8 Columnas'!B64</f>
        <v xml:space="preserve">1-2-10-010 Dep. Acum. de Vehículos </v>
      </c>
      <c r="C89" s="1212">
        <v>-6000000</v>
      </c>
      <c r="D89" s="1213" t="s">
        <v>1031</v>
      </c>
      <c r="E89" s="1772" t="s">
        <v>1031</v>
      </c>
    </row>
    <row r="90" spans="2:5">
      <c r="B90" s="1604" t="str">
        <f>+'Bce 8 Columnas'!B65</f>
        <v>1-2-10-011 Dep. Acum. de Muebles y Enseres</v>
      </c>
      <c r="C90" s="1212">
        <v>-10000000</v>
      </c>
      <c r="D90" s="1213" t="s">
        <v>1031</v>
      </c>
      <c r="E90" s="1772" t="s">
        <v>1031</v>
      </c>
    </row>
    <row r="91" spans="2:5">
      <c r="B91" s="1604" t="str">
        <f>+'Bce 8 Columnas'!B66</f>
        <v>1-2-10-012 Dep. Acum. de Otras Máquinas y Equipos</v>
      </c>
      <c r="C91" s="1212">
        <v>-20000000</v>
      </c>
      <c r="D91" s="1213" t="s">
        <v>1031</v>
      </c>
      <c r="E91" s="1772" t="s">
        <v>1031</v>
      </c>
    </row>
    <row r="92" spans="2:5" ht="14.65" thickBot="1">
      <c r="B92" s="678"/>
      <c r="C92" s="685"/>
      <c r="D92" s="674"/>
      <c r="E92" s="688"/>
    </row>
    <row r="93" spans="2:5">
      <c r="B93" s="672" t="s">
        <v>823</v>
      </c>
      <c r="C93" s="687">
        <v>964000000</v>
      </c>
      <c r="D93" s="674"/>
      <c r="E93" s="688"/>
    </row>
    <row r="94" spans="2:5">
      <c r="B94" s="677"/>
      <c r="C94" s="668"/>
      <c r="D94" s="669"/>
      <c r="E94" s="1770"/>
    </row>
    <row r="95" spans="2:5">
      <c r="B95" s="1617" t="str">
        <f>+'Bce 8 Columnas'!B58</f>
        <v>1-2-10-005 Activos en Leasing</v>
      </c>
      <c r="C95" s="1618">
        <v>225000000</v>
      </c>
      <c r="D95" s="1213" t="s">
        <v>1031</v>
      </c>
      <c r="E95" s="1772" t="s">
        <v>1031</v>
      </c>
    </row>
    <row r="96" spans="2:5">
      <c r="B96" s="1617" t="str">
        <f>+'Bce 8 Columnas'!B67</f>
        <v>1-2-10-013 Dep. Acum. de Activos en Leasing</v>
      </c>
      <c r="C96" s="1618">
        <v>-6250000</v>
      </c>
      <c r="D96" s="1213" t="s">
        <v>1031</v>
      </c>
      <c r="E96" s="1772" t="s">
        <v>1031</v>
      </c>
    </row>
    <row r="97" spans="2:5">
      <c r="B97" s="672" t="s">
        <v>1467</v>
      </c>
      <c r="C97" s="687">
        <v>218750000</v>
      </c>
      <c r="D97" s="674"/>
      <c r="E97" s="688"/>
    </row>
    <row r="98" spans="2:5">
      <c r="B98" s="677"/>
      <c r="C98" s="668"/>
      <c r="D98" s="669"/>
      <c r="E98" s="1770"/>
    </row>
    <row r="99" spans="2:5" ht="14.65" thickBot="1">
      <c r="B99" s="678" t="str">
        <f>+'Bce 8 Columnas'!B68</f>
        <v>1-2-15-001 Activos por Impuestos diferidos</v>
      </c>
      <c r="C99" s="685">
        <v>0</v>
      </c>
      <c r="D99" s="674"/>
      <c r="E99" s="688"/>
    </row>
    <row r="100" spans="2:5" ht="14.65" thickBot="1">
      <c r="B100" s="672" t="s">
        <v>824</v>
      </c>
      <c r="C100" s="673">
        <v>0</v>
      </c>
      <c r="D100" s="674"/>
      <c r="E100" s="688"/>
    </row>
    <row r="101" spans="2:5" ht="14.65" thickBot="1">
      <c r="B101" s="1201" t="s">
        <v>11</v>
      </c>
      <c r="C101" s="1203"/>
      <c r="D101" s="1204"/>
      <c r="E101" s="1204"/>
    </row>
    <row r="102" spans="2:5" ht="14.65" thickBot="1">
      <c r="B102" s="689"/>
      <c r="C102" s="689"/>
      <c r="D102" s="692"/>
      <c r="E102" s="1775"/>
    </row>
    <row r="103" spans="2:5" ht="14.65" thickBot="1"/>
    <row r="104" spans="2:5">
      <c r="B104" s="658"/>
      <c r="C104" s="1166" t="s">
        <v>1473</v>
      </c>
      <c r="D104" s="659"/>
      <c r="E104" s="1776"/>
    </row>
    <row r="105" spans="2:5">
      <c r="B105" s="661" t="s">
        <v>806</v>
      </c>
      <c r="C105" s="661" t="s">
        <v>1638</v>
      </c>
      <c r="D105" s="662" t="s">
        <v>1468</v>
      </c>
      <c r="E105" s="662" t="s">
        <v>1468</v>
      </c>
    </row>
    <row r="106" spans="2:5" ht="14.65" thickBot="1">
      <c r="B106" s="664"/>
      <c r="C106" s="664"/>
      <c r="D106" s="665"/>
      <c r="E106" s="1777"/>
    </row>
    <row r="107" spans="2:5" ht="6" customHeight="1">
      <c r="B107" s="668"/>
      <c r="C107" s="668"/>
      <c r="D107" s="669"/>
      <c r="E107" s="1770"/>
    </row>
    <row r="108" spans="2:5">
      <c r="B108" s="672" t="s">
        <v>825</v>
      </c>
      <c r="C108" s="672"/>
      <c r="D108" s="669"/>
      <c r="E108" s="1770"/>
    </row>
    <row r="109" spans="2:5" ht="4.25" customHeight="1">
      <c r="B109" s="677"/>
      <c r="C109" s="668"/>
      <c r="D109" s="669"/>
      <c r="E109" s="1770"/>
    </row>
    <row r="110" spans="2:5">
      <c r="B110" s="672" t="s">
        <v>826</v>
      </c>
      <c r="C110" s="672"/>
      <c r="D110" s="669"/>
      <c r="E110" s="1770"/>
    </row>
    <row r="111" spans="2:5" ht="4.8" customHeight="1">
      <c r="B111" s="677"/>
      <c r="C111" s="668"/>
      <c r="D111" s="669"/>
      <c r="E111" s="1770"/>
    </row>
    <row r="112" spans="2:5" ht="14.65" thickBot="1">
      <c r="B112" s="678" t="s">
        <v>937</v>
      </c>
      <c r="C112" s="681">
        <v>820000000</v>
      </c>
      <c r="D112" s="695" t="s">
        <v>1032</v>
      </c>
      <c r="E112" s="1778" t="s">
        <v>1032</v>
      </c>
    </row>
    <row r="113" spans="2:5" ht="38.65" thickBot="1">
      <c r="B113" s="1619" t="s">
        <v>939</v>
      </c>
      <c r="C113" s="1620">
        <v>40000000</v>
      </c>
      <c r="D113" s="1620">
        <v>16000000</v>
      </c>
      <c r="E113" s="1771" t="s">
        <v>1541</v>
      </c>
    </row>
    <row r="114" spans="2:5">
      <c r="B114" s="678" t="s">
        <v>941</v>
      </c>
      <c r="C114" s="681">
        <v>120000000</v>
      </c>
      <c r="D114" s="695" t="s">
        <v>1032</v>
      </c>
      <c r="E114" s="1778" t="s">
        <v>1032</v>
      </c>
    </row>
    <row r="115" spans="2:5">
      <c r="B115" s="1604" t="s">
        <v>943</v>
      </c>
      <c r="C115" s="1215">
        <v>330000000</v>
      </c>
      <c r="D115" s="1213" t="s">
        <v>1031</v>
      </c>
      <c r="E115" s="1772" t="s">
        <v>1031</v>
      </c>
    </row>
    <row r="116" spans="2:5" ht="14.65" thickBot="1">
      <c r="B116" s="1604" t="s">
        <v>945</v>
      </c>
      <c r="C116" s="1215">
        <v>-110000000</v>
      </c>
      <c r="D116" s="1213" t="s">
        <v>1031</v>
      </c>
      <c r="E116" s="1772" t="s">
        <v>1031</v>
      </c>
    </row>
    <row r="117" spans="2:5">
      <c r="B117" s="672" t="s">
        <v>827</v>
      </c>
      <c r="C117" s="683">
        <v>1200000000</v>
      </c>
      <c r="D117" s="669"/>
      <c r="E117" s="1770"/>
    </row>
    <row r="118" spans="2:5" ht="14.65" thickBot="1">
      <c r="B118" s="677"/>
      <c r="C118" s="668"/>
      <c r="D118" s="669"/>
      <c r="E118" s="1770"/>
    </row>
    <row r="119" spans="2:5" ht="38.65" thickBot="1">
      <c r="B119" s="1201" t="s">
        <v>949</v>
      </c>
      <c r="C119" s="1211">
        <v>150000000</v>
      </c>
      <c r="D119" s="1211">
        <v>40000000</v>
      </c>
      <c r="E119" s="1773" t="s">
        <v>1543</v>
      </c>
    </row>
    <row r="120" spans="2:5" ht="38.65" thickBot="1">
      <c r="B120" s="1613" t="s">
        <v>950</v>
      </c>
      <c r="C120" s="1621">
        <v>300000000</v>
      </c>
      <c r="D120" s="1621">
        <v>120000000</v>
      </c>
      <c r="E120" s="1779" t="s">
        <v>1543</v>
      </c>
    </row>
    <row r="121" spans="2:5">
      <c r="B121" s="678" t="s">
        <v>1440</v>
      </c>
      <c r="C121" s="681">
        <v>5600000</v>
      </c>
      <c r="D121" s="695" t="s">
        <v>1032</v>
      </c>
      <c r="E121" s="1778" t="s">
        <v>1032</v>
      </c>
    </row>
    <row r="122" spans="2:5">
      <c r="B122" s="678" t="s">
        <v>951</v>
      </c>
      <c r="C122" s="681">
        <v>6324052</v>
      </c>
      <c r="D122" s="695" t="s">
        <v>1032</v>
      </c>
      <c r="E122" s="1778" t="s">
        <v>1032</v>
      </c>
    </row>
    <row r="123" spans="2:5">
      <c r="B123" s="678" t="s">
        <v>952</v>
      </c>
      <c r="C123" s="681">
        <v>2000000</v>
      </c>
      <c r="D123" s="695" t="s">
        <v>1032</v>
      </c>
      <c r="E123" s="1778" t="s">
        <v>1032</v>
      </c>
    </row>
    <row r="124" spans="2:5" ht="14.65" thickBot="1">
      <c r="B124" s="678" t="s">
        <v>1441</v>
      </c>
      <c r="C124" s="681">
        <v>5000000</v>
      </c>
      <c r="D124" s="695" t="s">
        <v>1032</v>
      </c>
      <c r="E124" s="1778" t="s">
        <v>1032</v>
      </c>
    </row>
    <row r="125" spans="2:5" ht="25.9" thickBot="1">
      <c r="B125" s="1201" t="s">
        <v>953</v>
      </c>
      <c r="C125" s="1211">
        <v>35000000</v>
      </c>
      <c r="D125" s="1211">
        <v>42000000</v>
      </c>
      <c r="E125" s="1773" t="s">
        <v>1544</v>
      </c>
    </row>
    <row r="126" spans="2:5">
      <c r="B126" s="672" t="s">
        <v>828</v>
      </c>
      <c r="C126" s="1600">
        <v>503924052</v>
      </c>
      <c r="D126" s="669"/>
      <c r="E126" s="1770"/>
    </row>
    <row r="127" spans="2:5">
      <c r="B127" s="677"/>
      <c r="C127" s="668"/>
      <c r="D127" s="669"/>
      <c r="E127" s="1770"/>
    </row>
    <row r="128" spans="2:5">
      <c r="B128" s="1604" t="s">
        <v>956</v>
      </c>
      <c r="C128" s="1215">
        <v>180000000</v>
      </c>
      <c r="D128" s="1213" t="s">
        <v>1031</v>
      </c>
      <c r="E128" s="1772" t="s">
        <v>1031</v>
      </c>
    </row>
    <row r="129" spans="2:5">
      <c r="B129" s="1604" t="s">
        <v>1442</v>
      </c>
      <c r="C129" s="1215">
        <v>679000000</v>
      </c>
      <c r="D129" s="1213" t="s">
        <v>1031</v>
      </c>
      <c r="E129" s="1772" t="s">
        <v>1031</v>
      </c>
    </row>
    <row r="130" spans="2:5">
      <c r="B130" s="1604" t="s">
        <v>959</v>
      </c>
      <c r="C130" s="1215">
        <v>10000000</v>
      </c>
      <c r="D130" s="1213" t="s">
        <v>1031</v>
      </c>
      <c r="E130" s="1772" t="s">
        <v>1031</v>
      </c>
    </row>
    <row r="131" spans="2:5" ht="14.65" thickBot="1">
      <c r="B131" s="1604" t="s">
        <v>961</v>
      </c>
      <c r="C131" s="1215">
        <v>120000000</v>
      </c>
      <c r="D131" s="1213" t="s">
        <v>1031</v>
      </c>
      <c r="E131" s="1772" t="s">
        <v>1031</v>
      </c>
    </row>
    <row r="132" spans="2:5">
      <c r="B132" s="672" t="s">
        <v>830</v>
      </c>
      <c r="C132" s="683">
        <v>989000000</v>
      </c>
      <c r="D132" s="669"/>
      <c r="E132" s="1770"/>
    </row>
    <row r="133" spans="2:5">
      <c r="B133" s="677"/>
      <c r="C133" s="668"/>
      <c r="D133" s="669"/>
      <c r="E133" s="1770"/>
    </row>
    <row r="134" spans="2:5" ht="14.65" thickBot="1">
      <c r="B134" s="1191" t="s">
        <v>963</v>
      </c>
      <c r="C134" s="1192">
        <v>180000000</v>
      </c>
      <c r="D134" s="1622" t="s">
        <v>1032</v>
      </c>
      <c r="E134" s="1780" t="s">
        <v>1032</v>
      </c>
    </row>
    <row r="135" spans="2:5">
      <c r="B135" s="672" t="s">
        <v>831</v>
      </c>
      <c r="C135" s="683">
        <v>180000000</v>
      </c>
      <c r="D135" s="695"/>
      <c r="E135" s="1778"/>
    </row>
    <row r="136" spans="2:5">
      <c r="B136" s="677"/>
      <c r="C136" s="668"/>
      <c r="D136" s="695"/>
      <c r="E136" s="1778"/>
    </row>
    <row r="137" spans="2:5" ht="14.65" thickBot="1">
      <c r="B137" s="678" t="s">
        <v>978</v>
      </c>
      <c r="C137" s="1589">
        <v>150000000</v>
      </c>
      <c r="D137" s="695" t="s">
        <v>1032</v>
      </c>
      <c r="E137" s="1778" t="s">
        <v>1032</v>
      </c>
    </row>
    <row r="138" spans="2:5" ht="25.5">
      <c r="B138" s="672" t="s">
        <v>841</v>
      </c>
      <c r="C138" s="683">
        <v>150000000</v>
      </c>
      <c r="D138" s="669"/>
      <c r="E138" s="1770"/>
    </row>
    <row r="139" spans="2:5">
      <c r="B139" s="677"/>
      <c r="C139" s="668"/>
      <c r="D139" s="669"/>
      <c r="E139" s="1770"/>
    </row>
    <row r="140" spans="2:5">
      <c r="B140" s="672" t="s">
        <v>843</v>
      </c>
      <c r="C140" s="672"/>
      <c r="D140" s="669"/>
      <c r="E140" s="1770"/>
    </row>
    <row r="141" spans="2:5" ht="14.65" thickBot="1">
      <c r="B141" s="677"/>
      <c r="C141" s="668"/>
      <c r="D141" s="669"/>
      <c r="E141" s="1770"/>
    </row>
    <row r="142" spans="2:5" ht="14.65" thickBot="1">
      <c r="B142" s="1625" t="s">
        <v>1443</v>
      </c>
      <c r="C142" s="1626">
        <v>400000000</v>
      </c>
      <c r="D142" s="1624" t="s">
        <v>1469</v>
      </c>
      <c r="E142" s="1781" t="s">
        <v>1469</v>
      </c>
    </row>
    <row r="143" spans="2:5" ht="14.65" thickBot="1">
      <c r="B143" s="1201" t="s">
        <v>981</v>
      </c>
      <c r="C143" s="1211">
        <v>250000000</v>
      </c>
      <c r="D143" s="1725" t="s">
        <v>1643</v>
      </c>
      <c r="E143" s="1725" t="s">
        <v>1629</v>
      </c>
    </row>
    <row r="144" spans="2:5" ht="14.65" thickBot="1">
      <c r="B144" s="1597" t="s">
        <v>844</v>
      </c>
      <c r="C144" s="1623">
        <v>650000000</v>
      </c>
      <c r="D144" s="1152"/>
      <c r="E144" s="1782"/>
    </row>
    <row r="145" spans="2:5">
      <c r="B145" s="672"/>
      <c r="C145" s="1600"/>
      <c r="D145" s="669"/>
      <c r="E145" s="1770"/>
    </row>
    <row r="146" spans="2:5">
      <c r="B146" s="672"/>
      <c r="C146" s="1600"/>
      <c r="D146" s="669"/>
      <c r="E146" s="1770"/>
    </row>
    <row r="147" spans="2:5">
      <c r="B147" s="677"/>
      <c r="C147" s="668"/>
      <c r="D147" s="669"/>
      <c r="E147" s="1770"/>
    </row>
    <row r="148" spans="2:5" ht="14.65" thickBot="1">
      <c r="B148" s="678"/>
      <c r="C148" s="689"/>
      <c r="D148" s="1589"/>
      <c r="E148" s="1783"/>
    </row>
    <row r="149" spans="2:5">
      <c r="B149" s="672" t="s">
        <v>845</v>
      </c>
      <c r="C149" s="672">
        <v>0</v>
      </c>
      <c r="D149" s="669"/>
      <c r="E149" s="1770"/>
    </row>
    <row r="150" spans="2:5" ht="14.65" thickBot="1">
      <c r="B150" s="677"/>
      <c r="C150" s="668"/>
      <c r="D150" s="669"/>
      <c r="E150" s="1770"/>
    </row>
    <row r="151" spans="2:5" ht="14.65" thickBot="1">
      <c r="B151" s="1629" t="s">
        <v>982</v>
      </c>
      <c r="C151" s="1630">
        <v>720000000</v>
      </c>
      <c r="D151" s="1631" t="s">
        <v>1545</v>
      </c>
      <c r="E151" s="1784"/>
    </row>
    <row r="152" spans="2:5">
      <c r="B152" s="672" t="s">
        <v>846</v>
      </c>
      <c r="C152" s="1600">
        <v>720000000</v>
      </c>
      <c r="D152" s="669"/>
      <c r="E152" s="1770"/>
    </row>
    <row r="153" spans="2:5">
      <c r="B153" s="677"/>
      <c r="C153" s="668"/>
      <c r="D153" s="669"/>
      <c r="E153" s="1770"/>
    </row>
    <row r="154" spans="2:5" ht="14.65" thickBot="1">
      <c r="B154" s="677"/>
      <c r="C154" s="668"/>
      <c r="D154" s="669"/>
      <c r="E154" s="1770"/>
    </row>
    <row r="155" spans="2:5" ht="14.65" thickBot="1">
      <c r="B155" s="1627" t="s">
        <v>933</v>
      </c>
      <c r="C155" s="1610">
        <v>550614949</v>
      </c>
      <c r="D155" s="1628"/>
      <c r="E155" s="1785"/>
    </row>
    <row r="156" spans="2:5">
      <c r="B156" s="672" t="s">
        <v>983</v>
      </c>
      <c r="C156" s="1600">
        <v>550614949</v>
      </c>
      <c r="D156" s="669"/>
      <c r="E156" s="1770"/>
    </row>
    <row r="157" spans="2:5" ht="14.65" thickBot="1">
      <c r="B157" s="677"/>
      <c r="C157" s="668"/>
      <c r="D157" s="669"/>
      <c r="E157" s="1770"/>
    </row>
    <row r="158" spans="2:5" ht="14.65" thickBot="1">
      <c r="B158" s="1605" t="s">
        <v>38</v>
      </c>
      <c r="C158" s="1606">
        <v>4943539001</v>
      </c>
      <c r="D158" s="697">
        <v>0</v>
      </c>
      <c r="E158" s="697">
        <v>0</v>
      </c>
    </row>
    <row r="159" spans="2:5" ht="14.65" thickBot="1">
      <c r="B159" s="689"/>
      <c r="C159" s="689"/>
      <c r="D159" s="692"/>
      <c r="E159" s="1775"/>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dimension ref="A1:M44"/>
  <sheetViews>
    <sheetView showGridLines="0" zoomScale="84" zoomScaleNormal="84" workbookViewId="0">
      <selection activeCell="O23" sqref="O23"/>
    </sheetView>
  </sheetViews>
  <sheetFormatPr baseColWidth="10" defaultRowHeight="14.25"/>
  <cols>
    <col min="1" max="1" width="49.46484375" customWidth="1"/>
    <col min="2" max="2" width="16.53125" customWidth="1"/>
    <col min="4" max="4" width="14.19921875" customWidth="1"/>
    <col min="11" max="11" width="17.53125" customWidth="1"/>
    <col min="12" max="12" width="16.19921875" customWidth="1"/>
    <col min="257" max="257" width="49.46484375" customWidth="1"/>
    <col min="258" max="258" width="16.53125" customWidth="1"/>
    <col min="260" max="260" width="14.19921875" customWidth="1"/>
    <col min="267" max="267" width="17.53125" customWidth="1"/>
    <col min="513" max="513" width="49.46484375" customWidth="1"/>
    <col min="514" max="514" width="16.53125" customWidth="1"/>
    <col min="516" max="516" width="14.19921875" customWidth="1"/>
    <col min="523" max="523" width="17.53125" customWidth="1"/>
    <col min="769" max="769" width="49.46484375" customWidth="1"/>
    <col min="770" max="770" width="16.53125" customWidth="1"/>
    <col min="772" max="772" width="14.19921875" customWidth="1"/>
    <col min="779" max="779" width="17.53125" customWidth="1"/>
    <col min="1025" max="1025" width="49.46484375" customWidth="1"/>
    <col min="1026" max="1026" width="16.53125" customWidth="1"/>
    <col min="1028" max="1028" width="14.19921875" customWidth="1"/>
    <col min="1035" max="1035" width="17.53125" customWidth="1"/>
    <col min="1281" max="1281" width="49.46484375" customWidth="1"/>
    <col min="1282" max="1282" width="16.53125" customWidth="1"/>
    <col min="1284" max="1284" width="14.19921875" customWidth="1"/>
    <col min="1291" max="1291" width="17.53125" customWidth="1"/>
    <col min="1537" max="1537" width="49.46484375" customWidth="1"/>
    <col min="1538" max="1538" width="16.53125" customWidth="1"/>
    <col min="1540" max="1540" width="14.19921875" customWidth="1"/>
    <col min="1547" max="1547" width="17.53125" customWidth="1"/>
    <col min="1793" max="1793" width="49.46484375" customWidth="1"/>
    <col min="1794" max="1794" width="16.53125" customWidth="1"/>
    <col min="1796" max="1796" width="14.19921875" customWidth="1"/>
    <col min="1803" max="1803" width="17.53125" customWidth="1"/>
    <col min="2049" max="2049" width="49.46484375" customWidth="1"/>
    <col min="2050" max="2050" width="16.53125" customWidth="1"/>
    <col min="2052" max="2052" width="14.19921875" customWidth="1"/>
    <col min="2059" max="2059" width="17.53125" customWidth="1"/>
    <col min="2305" max="2305" width="49.46484375" customWidth="1"/>
    <col min="2306" max="2306" width="16.53125" customWidth="1"/>
    <col min="2308" max="2308" width="14.19921875" customWidth="1"/>
    <col min="2315" max="2315" width="17.53125" customWidth="1"/>
    <col min="2561" max="2561" width="49.46484375" customWidth="1"/>
    <col min="2562" max="2562" width="16.53125" customWidth="1"/>
    <col min="2564" max="2564" width="14.19921875" customWidth="1"/>
    <col min="2571" max="2571" width="17.53125" customWidth="1"/>
    <col min="2817" max="2817" width="49.46484375" customWidth="1"/>
    <col min="2818" max="2818" width="16.53125" customWidth="1"/>
    <col min="2820" max="2820" width="14.19921875" customWidth="1"/>
    <col min="2827" max="2827" width="17.53125" customWidth="1"/>
    <col min="3073" max="3073" width="49.46484375" customWidth="1"/>
    <col min="3074" max="3074" width="16.53125" customWidth="1"/>
    <col min="3076" max="3076" width="14.19921875" customWidth="1"/>
    <col min="3083" max="3083" width="17.53125" customWidth="1"/>
    <col min="3329" max="3329" width="49.46484375" customWidth="1"/>
    <col min="3330" max="3330" width="16.53125" customWidth="1"/>
    <col min="3332" max="3332" width="14.19921875" customWidth="1"/>
    <col min="3339" max="3339" width="17.53125" customWidth="1"/>
    <col min="3585" max="3585" width="49.46484375" customWidth="1"/>
    <col min="3586" max="3586" width="16.53125" customWidth="1"/>
    <col min="3588" max="3588" width="14.19921875" customWidth="1"/>
    <col min="3595" max="3595" width="17.53125" customWidth="1"/>
    <col min="3841" max="3841" width="49.46484375" customWidth="1"/>
    <col min="3842" max="3842" width="16.53125" customWidth="1"/>
    <col min="3844" max="3844" width="14.19921875" customWidth="1"/>
    <col min="3851" max="3851" width="17.53125" customWidth="1"/>
    <col min="4097" max="4097" width="49.46484375" customWidth="1"/>
    <col min="4098" max="4098" width="16.53125" customWidth="1"/>
    <col min="4100" max="4100" width="14.19921875" customWidth="1"/>
    <col min="4107" max="4107" width="17.53125" customWidth="1"/>
    <col min="4353" max="4353" width="49.46484375" customWidth="1"/>
    <col min="4354" max="4354" width="16.53125" customWidth="1"/>
    <col min="4356" max="4356" width="14.19921875" customWidth="1"/>
    <col min="4363" max="4363" width="17.53125" customWidth="1"/>
    <col min="4609" max="4609" width="49.46484375" customWidth="1"/>
    <col min="4610" max="4610" width="16.53125" customWidth="1"/>
    <col min="4612" max="4612" width="14.19921875" customWidth="1"/>
    <col min="4619" max="4619" width="17.53125" customWidth="1"/>
    <col min="4865" max="4865" width="49.46484375" customWidth="1"/>
    <col min="4866" max="4866" width="16.53125" customWidth="1"/>
    <col min="4868" max="4868" width="14.19921875" customWidth="1"/>
    <col min="4875" max="4875" width="17.53125" customWidth="1"/>
    <col min="5121" max="5121" width="49.46484375" customWidth="1"/>
    <col min="5122" max="5122" width="16.53125" customWidth="1"/>
    <col min="5124" max="5124" width="14.19921875" customWidth="1"/>
    <col min="5131" max="5131" width="17.53125" customWidth="1"/>
    <col min="5377" max="5377" width="49.46484375" customWidth="1"/>
    <col min="5378" max="5378" width="16.53125" customWidth="1"/>
    <col min="5380" max="5380" width="14.19921875" customWidth="1"/>
    <col min="5387" max="5387" width="17.53125" customWidth="1"/>
    <col min="5633" max="5633" width="49.46484375" customWidth="1"/>
    <col min="5634" max="5634" width="16.53125" customWidth="1"/>
    <col min="5636" max="5636" width="14.19921875" customWidth="1"/>
    <col min="5643" max="5643" width="17.53125" customWidth="1"/>
    <col min="5889" max="5889" width="49.46484375" customWidth="1"/>
    <col min="5890" max="5890" width="16.53125" customWidth="1"/>
    <col min="5892" max="5892" width="14.19921875" customWidth="1"/>
    <col min="5899" max="5899" width="17.53125" customWidth="1"/>
    <col min="6145" max="6145" width="49.46484375" customWidth="1"/>
    <col min="6146" max="6146" width="16.53125" customWidth="1"/>
    <col min="6148" max="6148" width="14.19921875" customWidth="1"/>
    <col min="6155" max="6155" width="17.53125" customWidth="1"/>
    <col min="6401" max="6401" width="49.46484375" customWidth="1"/>
    <col min="6402" max="6402" width="16.53125" customWidth="1"/>
    <col min="6404" max="6404" width="14.19921875" customWidth="1"/>
    <col min="6411" max="6411" width="17.53125" customWidth="1"/>
    <col min="6657" max="6657" width="49.46484375" customWidth="1"/>
    <col min="6658" max="6658" width="16.53125" customWidth="1"/>
    <col min="6660" max="6660" width="14.19921875" customWidth="1"/>
    <col min="6667" max="6667" width="17.53125" customWidth="1"/>
    <col min="6913" max="6913" width="49.46484375" customWidth="1"/>
    <col min="6914" max="6914" width="16.53125" customWidth="1"/>
    <col min="6916" max="6916" width="14.19921875" customWidth="1"/>
    <col min="6923" max="6923" width="17.53125" customWidth="1"/>
    <col min="7169" max="7169" width="49.46484375" customWidth="1"/>
    <col min="7170" max="7170" width="16.53125" customWidth="1"/>
    <col min="7172" max="7172" width="14.19921875" customWidth="1"/>
    <col min="7179" max="7179" width="17.53125" customWidth="1"/>
    <col min="7425" max="7425" width="49.46484375" customWidth="1"/>
    <col min="7426" max="7426" width="16.53125" customWidth="1"/>
    <col min="7428" max="7428" width="14.19921875" customWidth="1"/>
    <col min="7435" max="7435" width="17.53125" customWidth="1"/>
    <col min="7681" max="7681" width="49.46484375" customWidth="1"/>
    <col min="7682" max="7682" width="16.53125" customWidth="1"/>
    <col min="7684" max="7684" width="14.19921875" customWidth="1"/>
    <col min="7691" max="7691" width="17.53125" customWidth="1"/>
    <col min="7937" max="7937" width="49.46484375" customWidth="1"/>
    <col min="7938" max="7938" width="16.53125" customWidth="1"/>
    <col min="7940" max="7940" width="14.19921875" customWidth="1"/>
    <col min="7947" max="7947" width="17.53125" customWidth="1"/>
    <col min="8193" max="8193" width="49.46484375" customWidth="1"/>
    <col min="8194" max="8194" width="16.53125" customWidth="1"/>
    <col min="8196" max="8196" width="14.19921875" customWidth="1"/>
    <col min="8203" max="8203" width="17.53125" customWidth="1"/>
    <col min="8449" max="8449" width="49.46484375" customWidth="1"/>
    <col min="8450" max="8450" width="16.53125" customWidth="1"/>
    <col min="8452" max="8452" width="14.19921875" customWidth="1"/>
    <col min="8459" max="8459" width="17.53125" customWidth="1"/>
    <col min="8705" max="8705" width="49.46484375" customWidth="1"/>
    <col min="8706" max="8706" width="16.53125" customWidth="1"/>
    <col min="8708" max="8708" width="14.19921875" customWidth="1"/>
    <col min="8715" max="8715" width="17.53125" customWidth="1"/>
    <col min="8961" max="8961" width="49.46484375" customWidth="1"/>
    <col min="8962" max="8962" width="16.53125" customWidth="1"/>
    <col min="8964" max="8964" width="14.19921875" customWidth="1"/>
    <col min="8971" max="8971" width="17.53125" customWidth="1"/>
    <col min="9217" max="9217" width="49.46484375" customWidth="1"/>
    <col min="9218" max="9218" width="16.53125" customWidth="1"/>
    <col min="9220" max="9220" width="14.19921875" customWidth="1"/>
    <col min="9227" max="9227" width="17.53125" customWidth="1"/>
    <col min="9473" max="9473" width="49.46484375" customWidth="1"/>
    <col min="9474" max="9474" width="16.53125" customWidth="1"/>
    <col min="9476" max="9476" width="14.19921875" customWidth="1"/>
    <col min="9483" max="9483" width="17.53125" customWidth="1"/>
    <col min="9729" max="9729" width="49.46484375" customWidth="1"/>
    <col min="9730" max="9730" width="16.53125" customWidth="1"/>
    <col min="9732" max="9732" width="14.19921875" customWidth="1"/>
    <col min="9739" max="9739" width="17.53125" customWidth="1"/>
    <col min="9985" max="9985" width="49.46484375" customWidth="1"/>
    <col min="9986" max="9986" width="16.53125" customWidth="1"/>
    <col min="9988" max="9988" width="14.19921875" customWidth="1"/>
    <col min="9995" max="9995" width="17.53125" customWidth="1"/>
    <col min="10241" max="10241" width="49.46484375" customWidth="1"/>
    <col min="10242" max="10242" width="16.53125" customWidth="1"/>
    <col min="10244" max="10244" width="14.19921875" customWidth="1"/>
    <col min="10251" max="10251" width="17.53125" customWidth="1"/>
    <col min="10497" max="10497" width="49.46484375" customWidth="1"/>
    <col min="10498" max="10498" width="16.53125" customWidth="1"/>
    <col min="10500" max="10500" width="14.19921875" customWidth="1"/>
    <col min="10507" max="10507" width="17.53125" customWidth="1"/>
    <col min="10753" max="10753" width="49.46484375" customWidth="1"/>
    <col min="10754" max="10754" width="16.53125" customWidth="1"/>
    <col min="10756" max="10756" width="14.19921875" customWidth="1"/>
    <col min="10763" max="10763" width="17.53125" customWidth="1"/>
    <col min="11009" max="11009" width="49.46484375" customWidth="1"/>
    <col min="11010" max="11010" width="16.53125" customWidth="1"/>
    <col min="11012" max="11012" width="14.19921875" customWidth="1"/>
    <col min="11019" max="11019" width="17.53125" customWidth="1"/>
    <col min="11265" max="11265" width="49.46484375" customWidth="1"/>
    <col min="11266" max="11266" width="16.53125" customWidth="1"/>
    <col min="11268" max="11268" width="14.19921875" customWidth="1"/>
    <col min="11275" max="11275" width="17.53125" customWidth="1"/>
    <col min="11521" max="11521" width="49.46484375" customWidth="1"/>
    <col min="11522" max="11522" width="16.53125" customWidth="1"/>
    <col min="11524" max="11524" width="14.19921875" customWidth="1"/>
    <col min="11531" max="11531" width="17.53125" customWidth="1"/>
    <col min="11777" max="11777" width="49.46484375" customWidth="1"/>
    <col min="11778" max="11778" width="16.53125" customWidth="1"/>
    <col min="11780" max="11780" width="14.19921875" customWidth="1"/>
    <col min="11787" max="11787" width="17.53125" customWidth="1"/>
    <col min="12033" max="12033" width="49.46484375" customWidth="1"/>
    <col min="12034" max="12034" width="16.53125" customWidth="1"/>
    <col min="12036" max="12036" width="14.19921875" customWidth="1"/>
    <col min="12043" max="12043" width="17.53125" customWidth="1"/>
    <col min="12289" max="12289" width="49.46484375" customWidth="1"/>
    <col min="12290" max="12290" width="16.53125" customWidth="1"/>
    <col min="12292" max="12292" width="14.19921875" customWidth="1"/>
    <col min="12299" max="12299" width="17.53125" customWidth="1"/>
    <col min="12545" max="12545" width="49.46484375" customWidth="1"/>
    <col min="12546" max="12546" width="16.53125" customWidth="1"/>
    <col min="12548" max="12548" width="14.19921875" customWidth="1"/>
    <col min="12555" max="12555" width="17.53125" customWidth="1"/>
    <col min="12801" max="12801" width="49.46484375" customWidth="1"/>
    <col min="12802" max="12802" width="16.53125" customWidth="1"/>
    <col min="12804" max="12804" width="14.19921875" customWidth="1"/>
    <col min="12811" max="12811" width="17.53125" customWidth="1"/>
    <col min="13057" max="13057" width="49.46484375" customWidth="1"/>
    <col min="13058" max="13058" width="16.53125" customWidth="1"/>
    <col min="13060" max="13060" width="14.19921875" customWidth="1"/>
    <col min="13067" max="13067" width="17.53125" customWidth="1"/>
    <col min="13313" max="13313" width="49.46484375" customWidth="1"/>
    <col min="13314" max="13314" width="16.53125" customWidth="1"/>
    <col min="13316" max="13316" width="14.19921875" customWidth="1"/>
    <col min="13323" max="13323" width="17.53125" customWidth="1"/>
    <col min="13569" max="13569" width="49.46484375" customWidth="1"/>
    <col min="13570" max="13570" width="16.53125" customWidth="1"/>
    <col min="13572" max="13572" width="14.19921875" customWidth="1"/>
    <col min="13579" max="13579" width="17.53125" customWidth="1"/>
    <col min="13825" max="13825" width="49.46484375" customWidth="1"/>
    <col min="13826" max="13826" width="16.53125" customWidth="1"/>
    <col min="13828" max="13828" width="14.19921875" customWidth="1"/>
    <col min="13835" max="13835" width="17.53125" customWidth="1"/>
    <col min="14081" max="14081" width="49.46484375" customWidth="1"/>
    <col min="14082" max="14082" width="16.53125" customWidth="1"/>
    <col min="14084" max="14084" width="14.19921875" customWidth="1"/>
    <col min="14091" max="14091" width="17.53125" customWidth="1"/>
    <col min="14337" max="14337" width="49.46484375" customWidth="1"/>
    <col min="14338" max="14338" width="16.53125" customWidth="1"/>
    <col min="14340" max="14340" width="14.19921875" customWidth="1"/>
    <col min="14347" max="14347" width="17.53125" customWidth="1"/>
    <col min="14593" max="14593" width="49.46484375" customWidth="1"/>
    <col min="14594" max="14594" width="16.53125" customWidth="1"/>
    <col min="14596" max="14596" width="14.19921875" customWidth="1"/>
    <col min="14603" max="14603" width="17.53125" customWidth="1"/>
    <col min="14849" max="14849" width="49.46484375" customWidth="1"/>
    <col min="14850" max="14850" width="16.53125" customWidth="1"/>
    <col min="14852" max="14852" width="14.19921875" customWidth="1"/>
    <col min="14859" max="14859" width="17.53125" customWidth="1"/>
    <col min="15105" max="15105" width="49.46484375" customWidth="1"/>
    <col min="15106" max="15106" width="16.53125" customWidth="1"/>
    <col min="15108" max="15108" width="14.19921875" customWidth="1"/>
    <col min="15115" max="15115" width="17.53125" customWidth="1"/>
    <col min="15361" max="15361" width="49.46484375" customWidth="1"/>
    <col min="15362" max="15362" width="16.53125" customWidth="1"/>
    <col min="15364" max="15364" width="14.19921875" customWidth="1"/>
    <col min="15371" max="15371" width="17.53125" customWidth="1"/>
    <col min="15617" max="15617" width="49.46484375" customWidth="1"/>
    <col min="15618" max="15618" width="16.53125" customWidth="1"/>
    <col min="15620" max="15620" width="14.19921875" customWidth="1"/>
    <col min="15627" max="15627" width="17.53125" customWidth="1"/>
    <col min="15873" max="15873" width="49.46484375" customWidth="1"/>
    <col min="15874" max="15874" width="16.53125" customWidth="1"/>
    <col min="15876" max="15876" width="14.19921875" customWidth="1"/>
    <col min="15883" max="15883" width="17.53125" customWidth="1"/>
    <col min="16129" max="16129" width="49.46484375" customWidth="1"/>
    <col min="16130" max="16130" width="16.53125" customWidth="1"/>
    <col min="16132" max="16132" width="14.19921875" customWidth="1"/>
    <col min="16139" max="16139" width="17.53125" customWidth="1"/>
  </cols>
  <sheetData>
    <row r="1" spans="1:13">
      <c r="A1" s="182" t="s">
        <v>197</v>
      </c>
    </row>
    <row r="2" spans="1:13">
      <c r="A2" s="33" t="s">
        <v>758</v>
      </c>
    </row>
    <row r="3" spans="1:13" ht="14.65" thickBot="1"/>
    <row r="4" spans="1:13" ht="34.5" customHeight="1" thickBot="1">
      <c r="A4" s="33" t="s">
        <v>756</v>
      </c>
      <c r="B4" s="469" t="s">
        <v>732</v>
      </c>
      <c r="C4" s="470" t="s">
        <v>733</v>
      </c>
      <c r="D4" s="470" t="s">
        <v>734</v>
      </c>
      <c r="E4" s="470" t="s">
        <v>735</v>
      </c>
      <c r="F4" s="470" t="s">
        <v>736</v>
      </c>
      <c r="G4" s="470" t="s">
        <v>737</v>
      </c>
      <c r="H4" s="470" t="s">
        <v>738</v>
      </c>
      <c r="I4" s="470" t="s">
        <v>739</v>
      </c>
      <c r="J4" s="470" t="s">
        <v>740</v>
      </c>
      <c r="K4" s="470" t="s">
        <v>741</v>
      </c>
      <c r="L4" s="470" t="s">
        <v>742</v>
      </c>
    </row>
    <row r="5" spans="1:13" s="472" customFormat="1" ht="60" customHeight="1">
      <c r="A5" s="481" t="s">
        <v>743</v>
      </c>
      <c r="B5" s="482" t="s">
        <v>744</v>
      </c>
      <c r="C5" s="482" t="s">
        <v>744</v>
      </c>
      <c r="D5" s="482" t="s">
        <v>744</v>
      </c>
      <c r="E5" s="482" t="s">
        <v>744</v>
      </c>
      <c r="F5" s="482" t="s">
        <v>744</v>
      </c>
      <c r="G5" s="482" t="s">
        <v>744</v>
      </c>
      <c r="H5" s="482" t="s">
        <v>744</v>
      </c>
      <c r="I5" s="482" t="s">
        <v>744</v>
      </c>
      <c r="J5" s="482" t="s">
        <v>744</v>
      </c>
      <c r="K5" s="482" t="s">
        <v>744</v>
      </c>
      <c r="L5" s="482" t="s">
        <v>745</v>
      </c>
    </row>
    <row r="6" spans="1:13" ht="28.5" customHeight="1">
      <c r="A6" s="483" t="s">
        <v>753</v>
      </c>
      <c r="B6" s="474"/>
      <c r="C6" s="474"/>
      <c r="D6" s="474"/>
      <c r="E6" s="474"/>
      <c r="F6" s="474"/>
      <c r="G6" s="474"/>
      <c r="H6" s="474"/>
      <c r="I6" s="474"/>
      <c r="J6" s="474"/>
      <c r="K6" s="474"/>
      <c r="L6" s="475">
        <f t="shared" ref="L6" si="0">B6+C6+D6+E6+F6+G6+H6+I6+J6+K6</f>
        <v>0</v>
      </c>
    </row>
    <row r="7" spans="1:13">
      <c r="A7" s="484"/>
      <c r="B7" s="485"/>
      <c r="C7" s="485"/>
      <c r="D7" s="485"/>
      <c r="E7" s="485"/>
      <c r="F7" s="485"/>
      <c r="G7" s="485"/>
      <c r="H7" s="485"/>
      <c r="I7" s="485"/>
      <c r="J7" s="485"/>
      <c r="K7" s="485"/>
      <c r="L7" s="485"/>
    </row>
    <row r="8" spans="1:13">
      <c r="A8" s="473" t="s">
        <v>439</v>
      </c>
      <c r="B8" s="474"/>
      <c r="C8" s="474"/>
      <c r="D8" s="474"/>
      <c r="E8" s="474"/>
      <c r="F8" s="474"/>
      <c r="G8" s="474"/>
      <c r="H8" s="474"/>
      <c r="I8" s="474"/>
      <c r="J8" s="474"/>
      <c r="K8" s="474"/>
      <c r="L8" s="475">
        <f>SUM(B8:K8)</f>
        <v>0</v>
      </c>
      <c r="M8" s="486"/>
    </row>
    <row r="9" spans="1:13">
      <c r="A9" s="473" t="s">
        <v>441</v>
      </c>
      <c r="B9" s="474"/>
      <c r="C9" s="474"/>
      <c r="D9" s="474"/>
      <c r="E9" s="474"/>
      <c r="F9" s="474"/>
      <c r="G9" s="474"/>
      <c r="H9" s="474"/>
      <c r="I9" s="474"/>
      <c r="J9" s="474"/>
      <c r="K9" s="474"/>
      <c r="L9" s="475">
        <f t="shared" ref="L9:L20" si="1">SUM(B9:K9)</f>
        <v>0</v>
      </c>
    </row>
    <row r="10" spans="1:13">
      <c r="A10" s="473" t="s">
        <v>442</v>
      </c>
      <c r="B10" s="474"/>
      <c r="C10" s="474"/>
      <c r="D10" s="474"/>
      <c r="E10" s="474"/>
      <c r="F10" s="474"/>
      <c r="G10" s="474"/>
      <c r="H10" s="474"/>
      <c r="I10" s="474"/>
      <c r="J10" s="474"/>
      <c r="K10" s="474"/>
      <c r="L10" s="475">
        <f t="shared" si="1"/>
        <v>0</v>
      </c>
    </row>
    <row r="11" spans="1:13">
      <c r="A11" s="473" t="s">
        <v>440</v>
      </c>
      <c r="B11" s="474"/>
      <c r="C11" s="474"/>
      <c r="D11" s="474"/>
      <c r="E11" s="474"/>
      <c r="F11" s="474"/>
      <c r="G11" s="474"/>
      <c r="H11" s="474"/>
      <c r="I11" s="474"/>
      <c r="J11" s="474"/>
      <c r="K11" s="474"/>
      <c r="L11" s="475">
        <f t="shared" si="1"/>
        <v>0</v>
      </c>
    </row>
    <row r="12" spans="1:13">
      <c r="A12" s="473" t="s">
        <v>688</v>
      </c>
      <c r="B12" s="474"/>
      <c r="C12" s="474"/>
      <c r="D12" s="474"/>
      <c r="E12" s="474"/>
      <c r="F12" s="474"/>
      <c r="G12" s="474"/>
      <c r="H12" s="474"/>
      <c r="I12" s="474"/>
      <c r="J12" s="474"/>
      <c r="K12" s="474"/>
      <c r="L12" s="475">
        <f t="shared" si="1"/>
        <v>0</v>
      </c>
    </row>
    <row r="13" spans="1:13">
      <c r="A13" s="473" t="s">
        <v>746</v>
      </c>
      <c r="B13" s="474"/>
      <c r="C13" s="474"/>
      <c r="D13" s="474"/>
      <c r="E13" s="474"/>
      <c r="F13" s="474"/>
      <c r="G13" s="474"/>
      <c r="H13" s="474"/>
      <c r="I13" s="474"/>
      <c r="J13" s="474"/>
      <c r="K13" s="474"/>
      <c r="L13" s="475">
        <f t="shared" si="1"/>
        <v>0</v>
      </c>
    </row>
    <row r="14" spans="1:13">
      <c r="A14" s="473" t="s">
        <v>747</v>
      </c>
      <c r="B14" s="474"/>
      <c r="C14" s="474"/>
      <c r="D14" s="474"/>
      <c r="E14" s="474"/>
      <c r="F14" s="474"/>
      <c r="G14" s="474"/>
      <c r="H14" s="474"/>
      <c r="I14" s="474"/>
      <c r="J14" s="474"/>
      <c r="K14" s="474"/>
      <c r="L14" s="475">
        <f t="shared" si="1"/>
        <v>0</v>
      </c>
    </row>
    <row r="15" spans="1:13">
      <c r="A15" s="473" t="s">
        <v>748</v>
      </c>
      <c r="B15" s="474"/>
      <c r="C15" s="474"/>
      <c r="D15" s="474"/>
      <c r="E15" s="474"/>
      <c r="F15" s="474"/>
      <c r="G15" s="474"/>
      <c r="H15" s="474"/>
      <c r="I15" s="474"/>
      <c r="J15" s="474"/>
      <c r="K15" s="474"/>
      <c r="L15" s="475">
        <f t="shared" si="1"/>
        <v>0</v>
      </c>
    </row>
    <row r="16" spans="1:13">
      <c r="A16" s="473" t="s">
        <v>749</v>
      </c>
      <c r="B16" s="474"/>
      <c r="C16" s="474"/>
      <c r="D16" s="474"/>
      <c r="E16" s="474"/>
      <c r="F16" s="474"/>
      <c r="G16" s="474"/>
      <c r="H16" s="474"/>
      <c r="I16" s="474"/>
      <c r="J16" s="474"/>
      <c r="K16" s="474"/>
      <c r="L16" s="475">
        <f t="shared" si="1"/>
        <v>0</v>
      </c>
    </row>
    <row r="17" spans="1:12">
      <c r="A17" s="473" t="s">
        <v>443</v>
      </c>
      <c r="B17" s="474"/>
      <c r="C17" s="474"/>
      <c r="D17" s="474"/>
      <c r="E17" s="474"/>
      <c r="F17" s="474"/>
      <c r="G17" s="474"/>
      <c r="H17" s="474"/>
      <c r="I17" s="474"/>
      <c r="J17" s="474"/>
      <c r="K17" s="474"/>
      <c r="L17" s="475">
        <f t="shared" si="1"/>
        <v>0</v>
      </c>
    </row>
    <row r="18" spans="1:12">
      <c r="A18" s="473" t="s">
        <v>755</v>
      </c>
      <c r="B18" s="474"/>
      <c r="C18" s="474"/>
      <c r="D18" s="474"/>
      <c r="E18" s="474"/>
      <c r="F18" s="474"/>
      <c r="G18" s="474"/>
      <c r="H18" s="474"/>
      <c r="I18" s="474"/>
      <c r="J18" s="474"/>
      <c r="K18" s="474"/>
      <c r="L18" s="475">
        <f t="shared" si="1"/>
        <v>0</v>
      </c>
    </row>
    <row r="19" spans="1:12">
      <c r="A19" s="473" t="s">
        <v>755</v>
      </c>
      <c r="B19" s="474"/>
      <c r="C19" s="474"/>
      <c r="D19" s="474"/>
      <c r="E19" s="474"/>
      <c r="F19" s="474"/>
      <c r="G19" s="474"/>
      <c r="H19" s="474"/>
      <c r="I19" s="474"/>
      <c r="J19" s="474"/>
      <c r="K19" s="474"/>
      <c r="L19" s="475">
        <f t="shared" si="1"/>
        <v>0</v>
      </c>
    </row>
    <row r="20" spans="1:12">
      <c r="A20" s="473" t="s">
        <v>755</v>
      </c>
      <c r="B20" s="474"/>
      <c r="C20" s="474"/>
      <c r="D20" s="474"/>
      <c r="E20" s="474"/>
      <c r="F20" s="474"/>
      <c r="G20" s="474"/>
      <c r="H20" s="474"/>
      <c r="I20" s="474"/>
      <c r="J20" s="474"/>
      <c r="K20" s="474"/>
      <c r="L20" s="475">
        <f t="shared" si="1"/>
        <v>0</v>
      </c>
    </row>
    <row r="21" spans="1:12">
      <c r="A21" s="476" t="s">
        <v>750</v>
      </c>
      <c r="B21" s="477">
        <f>SUM(B8:B20)</f>
        <v>0</v>
      </c>
      <c r="C21" s="477">
        <f t="shared" ref="C21:L21" si="2">SUM(C8:C20)</f>
        <v>0</v>
      </c>
      <c r="D21" s="477">
        <f t="shared" si="2"/>
        <v>0</v>
      </c>
      <c r="E21" s="477">
        <f t="shared" si="2"/>
        <v>0</v>
      </c>
      <c r="F21" s="477">
        <f t="shared" si="2"/>
        <v>0</v>
      </c>
      <c r="G21" s="477">
        <f t="shared" si="2"/>
        <v>0</v>
      </c>
      <c r="H21" s="477">
        <f t="shared" si="2"/>
        <v>0</v>
      </c>
      <c r="I21" s="477">
        <f t="shared" si="2"/>
        <v>0</v>
      </c>
      <c r="J21" s="477">
        <f t="shared" si="2"/>
        <v>0</v>
      </c>
      <c r="K21" s="477">
        <f t="shared" si="2"/>
        <v>0</v>
      </c>
      <c r="L21" s="477">
        <f t="shared" si="2"/>
        <v>0</v>
      </c>
    </row>
    <row r="22" spans="1:12">
      <c r="A22" s="476" t="s">
        <v>751</v>
      </c>
      <c r="B22" s="478"/>
      <c r="C22" s="478"/>
      <c r="D22" s="478"/>
      <c r="E22" s="478"/>
      <c r="F22" s="478"/>
      <c r="G22" s="478"/>
      <c r="H22" s="478"/>
      <c r="I22" s="478"/>
      <c r="J22" s="478"/>
      <c r="K22" s="478"/>
      <c r="L22" s="475">
        <f>B22+C22+D22+E22+F22+G22+H22+I22+J22+K22</f>
        <v>0</v>
      </c>
    </row>
    <row r="23" spans="1:12">
      <c r="A23" s="479" t="s">
        <v>752</v>
      </c>
      <c r="B23" s="480">
        <f>B21-B22</f>
        <v>0</v>
      </c>
      <c r="C23" s="480">
        <f t="shared" ref="C23:K23" si="3">C21-C22</f>
        <v>0</v>
      </c>
      <c r="D23" s="480">
        <f t="shared" si="3"/>
        <v>0</v>
      </c>
      <c r="E23" s="480">
        <f t="shared" si="3"/>
        <v>0</v>
      </c>
      <c r="F23" s="480">
        <f t="shared" si="3"/>
        <v>0</v>
      </c>
      <c r="G23" s="480">
        <f t="shared" si="3"/>
        <v>0</v>
      </c>
      <c r="H23" s="480">
        <f t="shared" si="3"/>
        <v>0</v>
      </c>
      <c r="I23" s="480">
        <f t="shared" si="3"/>
        <v>0</v>
      </c>
      <c r="J23" s="480">
        <f t="shared" si="3"/>
        <v>0</v>
      </c>
      <c r="K23" s="480">
        <f t="shared" si="3"/>
        <v>0</v>
      </c>
      <c r="L23" s="480">
        <f>L21+L22</f>
        <v>0</v>
      </c>
    </row>
    <row r="27" spans="1:12" ht="14.65" thickBot="1"/>
    <row r="28" spans="1:12" ht="22.9" thickBot="1">
      <c r="A28" s="33" t="s">
        <v>757</v>
      </c>
      <c r="B28" s="469" t="s">
        <v>732</v>
      </c>
      <c r="C28" s="470" t="s">
        <v>733</v>
      </c>
      <c r="D28" s="470" t="s">
        <v>734</v>
      </c>
      <c r="E28" s="470" t="s">
        <v>735</v>
      </c>
      <c r="F28" s="470" t="s">
        <v>736</v>
      </c>
      <c r="G28" s="470" t="s">
        <v>737</v>
      </c>
      <c r="H28" s="470" t="s">
        <v>738</v>
      </c>
      <c r="I28" s="470" t="s">
        <v>739</v>
      </c>
      <c r="J28" s="470" t="s">
        <v>740</v>
      </c>
      <c r="K28" s="470" t="s">
        <v>741</v>
      </c>
      <c r="L28" s="470" t="s">
        <v>742</v>
      </c>
    </row>
    <row r="29" spans="1:12">
      <c r="A29" s="481" t="s">
        <v>743</v>
      </c>
      <c r="B29" s="471" t="s">
        <v>744</v>
      </c>
      <c r="C29" s="471" t="s">
        <v>744</v>
      </c>
      <c r="D29" s="471" t="s">
        <v>744</v>
      </c>
      <c r="E29" s="471" t="s">
        <v>744</v>
      </c>
      <c r="F29" s="471" t="s">
        <v>744</v>
      </c>
      <c r="G29" s="471" t="s">
        <v>744</v>
      </c>
      <c r="H29" s="471" t="s">
        <v>744</v>
      </c>
      <c r="I29" s="471" t="s">
        <v>744</v>
      </c>
      <c r="J29" s="471" t="s">
        <v>744</v>
      </c>
      <c r="K29" s="471" t="s">
        <v>744</v>
      </c>
      <c r="L29" s="471" t="s">
        <v>745</v>
      </c>
    </row>
    <row r="30" spans="1:12">
      <c r="A30" s="483" t="s">
        <v>754</v>
      </c>
      <c r="B30" s="474"/>
      <c r="C30" s="474"/>
      <c r="D30" s="474"/>
      <c r="E30" s="474"/>
      <c r="F30" s="474"/>
      <c r="G30" s="474"/>
      <c r="H30" s="474"/>
      <c r="I30" s="474"/>
      <c r="J30" s="474"/>
      <c r="K30" s="474"/>
      <c r="L30" s="475">
        <f t="shared" ref="L30" si="4">B30+C30+D30+E30+F30+G30+H30+I30+J30+K30</f>
        <v>0</v>
      </c>
    </row>
    <row r="31" spans="1:12">
      <c r="A31" s="484"/>
      <c r="B31" s="485"/>
      <c r="C31" s="485"/>
      <c r="D31" s="485"/>
      <c r="E31" s="485"/>
      <c r="F31" s="485"/>
      <c r="G31" s="485"/>
      <c r="H31" s="485"/>
      <c r="I31" s="485"/>
      <c r="J31" s="485"/>
      <c r="K31" s="485"/>
      <c r="L31" s="485"/>
    </row>
    <row r="32" spans="1:12">
      <c r="A32" s="473" t="s">
        <v>439</v>
      </c>
      <c r="B32" s="474"/>
      <c r="C32" s="474"/>
      <c r="D32" s="474"/>
      <c r="E32" s="474"/>
      <c r="F32" s="474"/>
      <c r="G32" s="474"/>
      <c r="H32" s="474"/>
      <c r="I32" s="474"/>
      <c r="J32" s="474"/>
      <c r="K32" s="474"/>
      <c r="L32" s="475">
        <f t="shared" ref="L32:L41" si="5">SUM(B32:K32)</f>
        <v>0</v>
      </c>
    </row>
    <row r="33" spans="1:12">
      <c r="A33" s="473" t="s">
        <v>441</v>
      </c>
      <c r="B33" s="474"/>
      <c r="C33" s="474"/>
      <c r="D33" s="474"/>
      <c r="E33" s="474"/>
      <c r="F33" s="474"/>
      <c r="G33" s="474"/>
      <c r="H33" s="474"/>
      <c r="I33" s="474"/>
      <c r="J33" s="474"/>
      <c r="K33" s="474"/>
      <c r="L33" s="475">
        <f t="shared" si="5"/>
        <v>0</v>
      </c>
    </row>
    <row r="34" spans="1:12">
      <c r="A34" s="473" t="s">
        <v>442</v>
      </c>
      <c r="B34" s="474"/>
      <c r="C34" s="474"/>
      <c r="D34" s="474"/>
      <c r="E34" s="474"/>
      <c r="F34" s="474"/>
      <c r="G34" s="474"/>
      <c r="H34" s="474"/>
      <c r="I34" s="474"/>
      <c r="J34" s="474"/>
      <c r="K34" s="474"/>
      <c r="L34" s="475">
        <f t="shared" si="5"/>
        <v>0</v>
      </c>
    </row>
    <row r="35" spans="1:12">
      <c r="A35" s="473" t="s">
        <v>440</v>
      </c>
      <c r="B35" s="474"/>
      <c r="C35" s="474"/>
      <c r="D35" s="474"/>
      <c r="E35" s="474"/>
      <c r="F35" s="474"/>
      <c r="G35" s="474"/>
      <c r="H35" s="474"/>
      <c r="I35" s="474"/>
      <c r="J35" s="474"/>
      <c r="K35" s="474"/>
      <c r="L35" s="475">
        <f t="shared" si="5"/>
        <v>0</v>
      </c>
    </row>
    <row r="36" spans="1:12">
      <c r="A36" s="473" t="s">
        <v>688</v>
      </c>
      <c r="B36" s="474"/>
      <c r="C36" s="474"/>
      <c r="D36" s="474"/>
      <c r="E36" s="474"/>
      <c r="F36" s="474"/>
      <c r="G36" s="474"/>
      <c r="H36" s="474"/>
      <c r="I36" s="474"/>
      <c r="J36" s="474"/>
      <c r="K36" s="474"/>
      <c r="L36" s="475">
        <f t="shared" si="5"/>
        <v>0</v>
      </c>
    </row>
    <row r="37" spans="1:12">
      <c r="A37" s="473" t="s">
        <v>746</v>
      </c>
      <c r="B37" s="474"/>
      <c r="C37" s="474"/>
      <c r="D37" s="474"/>
      <c r="E37" s="474"/>
      <c r="F37" s="474"/>
      <c r="G37" s="474"/>
      <c r="H37" s="474"/>
      <c r="I37" s="474"/>
      <c r="J37" s="474"/>
      <c r="K37" s="474"/>
      <c r="L37" s="475">
        <f t="shared" si="5"/>
        <v>0</v>
      </c>
    </row>
    <row r="38" spans="1:12">
      <c r="A38" s="473" t="s">
        <v>747</v>
      </c>
      <c r="B38" s="474"/>
      <c r="C38" s="474"/>
      <c r="D38" s="474"/>
      <c r="E38" s="474"/>
      <c r="F38" s="474"/>
      <c r="G38" s="474"/>
      <c r="H38" s="474"/>
      <c r="I38" s="474"/>
      <c r="J38" s="474"/>
      <c r="K38" s="474"/>
      <c r="L38" s="475">
        <f t="shared" si="5"/>
        <v>0</v>
      </c>
    </row>
    <row r="39" spans="1:12">
      <c r="A39" s="473" t="s">
        <v>748</v>
      </c>
      <c r="B39" s="474"/>
      <c r="C39" s="474"/>
      <c r="D39" s="474"/>
      <c r="E39" s="474"/>
      <c r="F39" s="474"/>
      <c r="G39" s="474"/>
      <c r="H39" s="474"/>
      <c r="I39" s="474"/>
      <c r="J39" s="474"/>
      <c r="K39" s="474"/>
      <c r="L39" s="475">
        <f t="shared" si="5"/>
        <v>0</v>
      </c>
    </row>
    <row r="40" spans="1:12">
      <c r="A40" s="473" t="s">
        <v>749</v>
      </c>
      <c r="B40" s="474"/>
      <c r="C40" s="474"/>
      <c r="D40" s="474"/>
      <c r="E40" s="474"/>
      <c r="F40" s="474"/>
      <c r="G40" s="474"/>
      <c r="H40" s="474"/>
      <c r="I40" s="474"/>
      <c r="J40" s="474"/>
      <c r="K40" s="474"/>
      <c r="L40" s="475">
        <f t="shared" si="5"/>
        <v>0</v>
      </c>
    </row>
    <row r="41" spans="1:12">
      <c r="A41" s="473" t="s">
        <v>103</v>
      </c>
      <c r="B41" s="474"/>
      <c r="C41" s="474"/>
      <c r="D41" s="474"/>
      <c r="E41" s="474"/>
      <c r="F41" s="474"/>
      <c r="G41" s="474"/>
      <c r="H41" s="474"/>
      <c r="I41" s="474"/>
      <c r="J41" s="474"/>
      <c r="K41" s="474"/>
      <c r="L41" s="475">
        <f t="shared" si="5"/>
        <v>0</v>
      </c>
    </row>
    <row r="42" spans="1:12">
      <c r="A42" s="476" t="s">
        <v>750</v>
      </c>
      <c r="B42" s="477">
        <f>SUM(B32:B41)</f>
        <v>0</v>
      </c>
      <c r="C42" s="477">
        <f t="shared" ref="C42:L42" si="6">SUM(C32:C41)</f>
        <v>0</v>
      </c>
      <c r="D42" s="477">
        <f t="shared" si="6"/>
        <v>0</v>
      </c>
      <c r="E42" s="477">
        <f t="shared" si="6"/>
        <v>0</v>
      </c>
      <c r="F42" s="477">
        <f t="shared" si="6"/>
        <v>0</v>
      </c>
      <c r="G42" s="477">
        <f t="shared" si="6"/>
        <v>0</v>
      </c>
      <c r="H42" s="477">
        <f t="shared" si="6"/>
        <v>0</v>
      </c>
      <c r="I42" s="477">
        <f t="shared" si="6"/>
        <v>0</v>
      </c>
      <c r="J42" s="477">
        <f t="shared" si="6"/>
        <v>0</v>
      </c>
      <c r="K42" s="477">
        <f t="shared" si="6"/>
        <v>0</v>
      </c>
      <c r="L42" s="477">
        <f t="shared" si="6"/>
        <v>0</v>
      </c>
    </row>
    <row r="43" spans="1:12">
      <c r="A43" s="476" t="s">
        <v>751</v>
      </c>
      <c r="B43" s="478"/>
      <c r="C43" s="478"/>
      <c r="D43" s="478"/>
      <c r="E43" s="478"/>
      <c r="F43" s="478"/>
      <c r="G43" s="478"/>
      <c r="H43" s="478"/>
      <c r="I43" s="478"/>
      <c r="J43" s="478"/>
      <c r="K43" s="478"/>
      <c r="L43" s="475">
        <f>B43+C43+D43+E43+F43+G43+H43+I43+J43+K43</f>
        <v>0</v>
      </c>
    </row>
    <row r="44" spans="1:12">
      <c r="A44" s="479" t="s">
        <v>752</v>
      </c>
      <c r="B44" s="480">
        <f>B42-B43</f>
        <v>0</v>
      </c>
      <c r="C44" s="480">
        <f t="shared" ref="C44:L44" si="7">C42-C43</f>
        <v>0</v>
      </c>
      <c r="D44" s="480">
        <f t="shared" si="7"/>
        <v>0</v>
      </c>
      <c r="E44" s="480">
        <f t="shared" si="7"/>
        <v>0</v>
      </c>
      <c r="F44" s="480">
        <f t="shared" si="7"/>
        <v>0</v>
      </c>
      <c r="G44" s="480">
        <f t="shared" si="7"/>
        <v>0</v>
      </c>
      <c r="H44" s="480">
        <f t="shared" si="7"/>
        <v>0</v>
      </c>
      <c r="I44" s="480">
        <f t="shared" si="7"/>
        <v>0</v>
      </c>
      <c r="J44" s="480">
        <f t="shared" si="7"/>
        <v>0</v>
      </c>
      <c r="K44" s="480">
        <f t="shared" si="7"/>
        <v>0</v>
      </c>
      <c r="L44" s="480">
        <f t="shared" si="7"/>
        <v>0</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tabColor theme="4" tint="-0.249977111117893"/>
  </sheetPr>
  <dimension ref="B2:D26"/>
  <sheetViews>
    <sheetView showGridLines="0" workbookViewId="0">
      <selection activeCell="J21" sqref="J21"/>
    </sheetView>
  </sheetViews>
  <sheetFormatPr baseColWidth="10" defaultColWidth="11.46484375" defaultRowHeight="11.65"/>
  <cols>
    <col min="1" max="1" width="11.46484375" style="28"/>
    <col min="2" max="2" width="34.19921875" style="28" bestFit="1" customWidth="1"/>
    <col min="3" max="4" width="12.46484375" style="28" customWidth="1"/>
    <col min="5" max="16384" width="11.46484375" style="28"/>
  </cols>
  <sheetData>
    <row r="2" spans="2:4">
      <c r="C2" s="195" t="s">
        <v>141</v>
      </c>
      <c r="D2" s="195" t="s">
        <v>199</v>
      </c>
    </row>
    <row r="3" spans="2:4" ht="13.15">
      <c r="C3" s="194">
        <f>+Datos!D6</f>
        <v>45657</v>
      </c>
      <c r="D3" s="194">
        <f>+Datos!E6</f>
        <v>45291</v>
      </c>
    </row>
    <row r="4" spans="2:4" ht="13.15">
      <c r="C4" s="193" t="s">
        <v>20</v>
      </c>
      <c r="D4" s="193" t="s">
        <v>20</v>
      </c>
    </row>
    <row r="5" spans="2:4">
      <c r="B5" s="34" t="s">
        <v>646</v>
      </c>
    </row>
    <row r="6" spans="2:4">
      <c r="B6" s="34" t="s">
        <v>647</v>
      </c>
      <c r="C6" s="345"/>
      <c r="D6" s="345"/>
    </row>
    <row r="7" spans="2:4">
      <c r="B7" s="28" t="s">
        <v>648</v>
      </c>
      <c r="C7" s="339"/>
      <c r="D7" s="339"/>
    </row>
    <row r="8" spans="2:4">
      <c r="B8" s="28" t="s">
        <v>649</v>
      </c>
      <c r="C8" s="339"/>
      <c r="D8" s="339"/>
    </row>
    <row r="9" spans="2:4">
      <c r="B9" s="28" t="s">
        <v>650</v>
      </c>
      <c r="C9" s="339"/>
      <c r="D9" s="339"/>
    </row>
    <row r="10" spans="2:4">
      <c r="B10" s="28" t="s">
        <v>651</v>
      </c>
      <c r="C10" s="339"/>
      <c r="D10" s="339"/>
    </row>
    <row r="11" spans="2:4">
      <c r="B11" s="35" t="s">
        <v>652</v>
      </c>
      <c r="C11" s="347">
        <f>+SUM(C7:C10)</f>
        <v>0</v>
      </c>
      <c r="D11" s="347">
        <f t="shared" ref="D11" si="0">+SUM(D7:D10)</f>
        <v>0</v>
      </c>
    </row>
    <row r="12" spans="2:4">
      <c r="C12" s="339"/>
      <c r="D12" s="339"/>
    </row>
    <row r="13" spans="2:4">
      <c r="C13" s="339"/>
      <c r="D13" s="339"/>
    </row>
    <row r="14" spans="2:4">
      <c r="B14" s="34" t="s">
        <v>653</v>
      </c>
      <c r="C14" s="339"/>
      <c r="D14" s="339"/>
    </row>
    <row r="15" spans="2:4">
      <c r="B15" s="34" t="s">
        <v>654</v>
      </c>
      <c r="C15" s="339"/>
      <c r="D15" s="339"/>
    </row>
    <row r="16" spans="2:4">
      <c r="B16" s="28" t="s">
        <v>648</v>
      </c>
      <c r="C16" s="339"/>
      <c r="D16" s="339"/>
    </row>
    <row r="17" spans="2:4">
      <c r="B17" s="28" t="s">
        <v>649</v>
      </c>
      <c r="C17" s="339"/>
      <c r="D17" s="339"/>
    </row>
    <row r="18" spans="2:4">
      <c r="B18" s="28" t="s">
        <v>650</v>
      </c>
      <c r="C18" s="339"/>
      <c r="D18" s="339"/>
    </row>
    <row r="19" spans="2:4">
      <c r="B19" s="28" t="s">
        <v>651</v>
      </c>
      <c r="C19" s="339"/>
      <c r="D19" s="339"/>
    </row>
    <row r="20" spans="2:4">
      <c r="B20" s="35" t="s">
        <v>655</v>
      </c>
      <c r="C20" s="347">
        <f>+SUM(C16:C19)</f>
        <v>0</v>
      </c>
      <c r="D20" s="347">
        <f t="shared" ref="D20" si="1">+SUM(D16:D19)</f>
        <v>0</v>
      </c>
    </row>
    <row r="21" spans="2:4">
      <c r="C21" s="339"/>
      <c r="D21" s="339"/>
    </row>
    <row r="22" spans="2:4">
      <c r="B22" s="35" t="s">
        <v>656</v>
      </c>
      <c r="C22" s="347">
        <f>+C20+C11</f>
        <v>0</v>
      </c>
      <c r="D22" s="347">
        <f t="shared" ref="D22" si="2">+D20+D11</f>
        <v>0</v>
      </c>
    </row>
    <row r="23" spans="2:4">
      <c r="C23" s="345"/>
      <c r="D23" s="345"/>
    </row>
    <row r="24" spans="2:4">
      <c r="B24" s="192" t="s">
        <v>686</v>
      </c>
      <c r="C24" s="346" t="e">
        <f>+SUM(C7:C9,C16:C18)-'Nº12 Deu Com y otxcob cte'!#REF!</f>
        <v>#REF!</v>
      </c>
      <c r="D24" s="346" t="e">
        <f>+SUM(D7:D9,D16:D18)-'Nº12 Deu Com y otxcob cte'!#REF!</f>
        <v>#REF!</v>
      </c>
    </row>
    <row r="25" spans="2:4">
      <c r="B25" s="192" t="s">
        <v>687</v>
      </c>
      <c r="C25" s="346">
        <f>+SUM(C10,C19)-'Nº12 Deu Com y otxcob cte'!C44</f>
        <v>0</v>
      </c>
      <c r="D25" s="346">
        <f>+SUM(D10,D19)-'Nº12 Deu Com y otxcob cte'!F44</f>
        <v>0</v>
      </c>
    </row>
    <row r="26" spans="2:4">
      <c r="B26" s="192"/>
      <c r="C26" s="346"/>
      <c r="D26" s="346"/>
    </row>
  </sheetData>
  <sheetProtection password="DF8B" sheet="1" objects="1" scenarios="1"/>
  <dataValidations count="1">
    <dataValidation type="whole" allowBlank="1" showInputMessage="1" showErrorMessage="1" sqref="C7:D10 C15:D19" xr:uid="{00000000-0002-0000-1700-000000000000}">
      <formula1>-9.99999999999999E+21</formula1>
      <formula2>9.99999999999999E+23</formula2>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8"/>
  <dimension ref="A1:M34"/>
  <sheetViews>
    <sheetView showGridLines="0" workbookViewId="0">
      <selection activeCell="J21" sqref="A10:J21"/>
    </sheetView>
  </sheetViews>
  <sheetFormatPr baseColWidth="10" defaultRowHeight="14.25"/>
  <cols>
    <col min="1" max="1" width="11.46484375" style="1"/>
    <col min="2" max="2" width="35.46484375" style="1" customWidth="1"/>
    <col min="3" max="6" width="14.46484375" style="1" customWidth="1"/>
    <col min="10" max="10" width="49.33203125" bestFit="1" customWidth="1"/>
  </cols>
  <sheetData>
    <row r="1" spans="1:13">
      <c r="A1" s="33" t="s">
        <v>318</v>
      </c>
      <c r="E1" s="56" t="s">
        <v>417</v>
      </c>
    </row>
    <row r="3" spans="1:13" ht="14.65" thickBot="1">
      <c r="A3" s="1" t="s">
        <v>500</v>
      </c>
    </row>
    <row r="4" spans="1:13" ht="14.65" thickBot="1">
      <c r="J4" s="583"/>
      <c r="K4" s="584">
        <f>++C7</f>
        <v>45657</v>
      </c>
      <c r="L4" s="584">
        <f>+E7</f>
        <v>45291</v>
      </c>
      <c r="M4" s="584">
        <f>+H7</f>
        <v>44927</v>
      </c>
    </row>
    <row r="5" spans="1:13">
      <c r="B5" s="2328" t="s">
        <v>183</v>
      </c>
      <c r="C5" s="2331" t="s">
        <v>319</v>
      </c>
      <c r="D5" s="2332"/>
      <c r="E5" s="2331" t="s">
        <v>199</v>
      </c>
      <c r="F5" s="2332"/>
      <c r="G5" s="2331" t="s">
        <v>199</v>
      </c>
      <c r="H5" s="2332"/>
      <c r="K5" s="625"/>
      <c r="L5" s="625"/>
      <c r="M5" s="625"/>
    </row>
    <row r="6" spans="1:13">
      <c r="B6" s="2329"/>
      <c r="C6" s="1267" t="s">
        <v>491</v>
      </c>
      <c r="D6" s="1287" t="s">
        <v>492</v>
      </c>
      <c r="E6" s="1267" t="s">
        <v>491</v>
      </c>
      <c r="F6" s="1287" t="s">
        <v>492</v>
      </c>
      <c r="G6" s="1267" t="s">
        <v>491</v>
      </c>
      <c r="H6" s="1287" t="s">
        <v>492</v>
      </c>
      <c r="K6" s="1022"/>
      <c r="L6" s="1022"/>
      <c r="M6" s="625"/>
    </row>
    <row r="7" spans="1:13">
      <c r="B7" s="2329"/>
      <c r="C7" s="1288">
        <f>+Datos!D6</f>
        <v>45657</v>
      </c>
      <c r="D7" s="1289">
        <f>+C7</f>
        <v>45657</v>
      </c>
      <c r="E7" s="1288">
        <f>+Datos!E6</f>
        <v>45291</v>
      </c>
      <c r="F7" s="1289">
        <f>+E7</f>
        <v>45291</v>
      </c>
      <c r="G7" s="1288">
        <f>+Datos!F6</f>
        <v>44927</v>
      </c>
      <c r="H7" s="1289">
        <f>+G7</f>
        <v>44927</v>
      </c>
      <c r="K7" s="1022"/>
      <c r="L7" s="1022"/>
      <c r="M7" s="625"/>
    </row>
    <row r="8" spans="1:13">
      <c r="B8" s="2330"/>
      <c r="C8" s="1270" t="s">
        <v>20</v>
      </c>
      <c r="D8" s="1277" t="s">
        <v>20</v>
      </c>
      <c r="E8" s="1270" t="s">
        <v>20</v>
      </c>
      <c r="F8" s="1277" t="s">
        <v>20</v>
      </c>
      <c r="G8" s="1270" t="s">
        <v>20</v>
      </c>
      <c r="H8" s="1277" t="s">
        <v>20</v>
      </c>
      <c r="K8" s="1022"/>
      <c r="L8" s="1022"/>
      <c r="M8" s="625"/>
    </row>
    <row r="9" spans="1:13" ht="14.65" thickBot="1">
      <c r="B9" s="1" t="s">
        <v>493</v>
      </c>
      <c r="C9" s="348">
        <f>+K5</f>
        <v>0</v>
      </c>
      <c r="D9" s="349"/>
      <c r="E9" s="348">
        <f>+L5</f>
        <v>0</v>
      </c>
      <c r="F9" s="349"/>
      <c r="G9" s="348"/>
      <c r="H9" s="349"/>
      <c r="K9" s="1023"/>
      <c r="L9" s="1022"/>
      <c r="M9" s="625"/>
    </row>
    <row r="10" spans="1:13" ht="14.65" thickBot="1">
      <c r="B10" s="1" t="s">
        <v>494</v>
      </c>
      <c r="C10" s="348"/>
      <c r="D10" s="349"/>
      <c r="E10" s="348"/>
      <c r="F10" s="349"/>
      <c r="G10" s="348"/>
      <c r="H10" s="349"/>
      <c r="J10" s="583"/>
      <c r="K10" s="618"/>
      <c r="L10" s="618"/>
      <c r="M10" s="1024">
        <f>SUM(M5:M9)</f>
        <v>0</v>
      </c>
    </row>
    <row r="11" spans="1:13">
      <c r="B11" s="1" t="s">
        <v>495</v>
      </c>
      <c r="C11" s="348"/>
      <c r="D11" s="349"/>
      <c r="E11" s="348"/>
      <c r="F11" s="349"/>
      <c r="G11" s="348"/>
      <c r="H11" s="349"/>
    </row>
    <row r="12" spans="1:13">
      <c r="B12" s="1" t="s">
        <v>1289</v>
      </c>
      <c r="C12" s="348"/>
      <c r="D12" s="349"/>
      <c r="E12" s="348"/>
      <c r="F12" s="349"/>
      <c r="G12" s="348"/>
      <c r="H12" s="349"/>
    </row>
    <row r="13" spans="1:13">
      <c r="B13" s="1" t="s">
        <v>496</v>
      </c>
      <c r="C13" s="348"/>
      <c r="D13" s="349"/>
      <c r="E13" s="348"/>
      <c r="F13" s="349"/>
      <c r="G13" s="348"/>
      <c r="H13" s="349"/>
    </row>
    <row r="14" spans="1:13">
      <c r="B14" s="1" t="s">
        <v>497</v>
      </c>
      <c r="C14" s="348"/>
      <c r="D14" s="349"/>
      <c r="E14" s="348"/>
      <c r="F14" s="349"/>
      <c r="G14" s="348"/>
      <c r="H14" s="349"/>
    </row>
    <row r="15" spans="1:13">
      <c r="B15" s="1" t="s">
        <v>498</v>
      </c>
      <c r="C15" s="348"/>
      <c r="D15" s="349"/>
      <c r="E15" s="348"/>
      <c r="F15" s="349"/>
      <c r="G15" s="348"/>
      <c r="H15" s="349"/>
      <c r="J15" s="33"/>
      <c r="K15" s="632"/>
      <c r="L15" s="632"/>
      <c r="M15" s="632"/>
    </row>
    <row r="16" spans="1:13">
      <c r="B16" s="1" t="s">
        <v>499</v>
      </c>
      <c r="C16" s="348"/>
      <c r="D16" s="349"/>
      <c r="E16" s="348"/>
      <c r="F16" s="349"/>
      <c r="G16" s="348"/>
      <c r="H16" s="349"/>
    </row>
    <row r="17" spans="2:8">
      <c r="C17" s="348"/>
      <c r="D17" s="349"/>
      <c r="E17" s="348"/>
      <c r="F17" s="349"/>
      <c r="G17" s="348"/>
      <c r="H17" s="349"/>
    </row>
    <row r="18" spans="2:8">
      <c r="B18" s="188" t="s">
        <v>375</v>
      </c>
      <c r="C18" s="348"/>
      <c r="D18" s="349"/>
      <c r="E18" s="348"/>
      <c r="F18" s="349"/>
      <c r="G18" s="348"/>
      <c r="H18" s="349"/>
    </row>
    <row r="19" spans="2:8">
      <c r="B19" s="1242" t="s">
        <v>109</v>
      </c>
      <c r="C19" s="1290">
        <f>+SUM(C9:C18)</f>
        <v>0</v>
      </c>
      <c r="D19" s="1291">
        <f t="shared" ref="D19:F19" si="0">+SUM(D9:D18)</f>
        <v>0</v>
      </c>
      <c r="E19" s="1292">
        <f t="shared" si="0"/>
        <v>0</v>
      </c>
      <c r="F19" s="1292">
        <f t="shared" si="0"/>
        <v>0</v>
      </c>
      <c r="G19" s="1292">
        <f t="shared" ref="G19:H19" si="1">+SUM(G9:G18)</f>
        <v>0</v>
      </c>
      <c r="H19" s="1292">
        <f t="shared" si="1"/>
        <v>0</v>
      </c>
    </row>
    <row r="20" spans="2:8">
      <c r="G20" s="1"/>
      <c r="H20" s="1"/>
    </row>
    <row r="21" spans="2:8">
      <c r="B21" s="41" t="s">
        <v>201</v>
      </c>
      <c r="C21" s="15">
        <f>+C19-'Est Situacion'!G11</f>
        <v>0</v>
      </c>
      <c r="D21" s="15">
        <f>+D19-'Est Situacion'!G27</f>
        <v>0</v>
      </c>
      <c r="E21" s="15">
        <f>+E19-'Est Situacion'!H11</f>
        <v>0</v>
      </c>
      <c r="F21" s="15">
        <f>+F19-'Est Situacion'!H27</f>
        <v>0</v>
      </c>
      <c r="G21" s="585">
        <f>+G19-'Est Situacion'!I11</f>
        <v>0</v>
      </c>
      <c r="H21" s="15">
        <f>+H19-'Est Situacion'!J27</f>
        <v>0</v>
      </c>
    </row>
    <row r="25" spans="2:8">
      <c r="B25" s="2328" t="s">
        <v>501</v>
      </c>
      <c r="C25" s="1219" t="s">
        <v>444</v>
      </c>
      <c r="D25" s="1293">
        <f>+C7</f>
        <v>45657</v>
      </c>
      <c r="E25" s="1294">
        <f>+E7</f>
        <v>45291</v>
      </c>
      <c r="F25" s="458"/>
    </row>
    <row r="26" spans="2:8">
      <c r="B26" s="2330"/>
      <c r="C26" s="1221" t="s">
        <v>447</v>
      </c>
      <c r="D26" s="1221" t="s">
        <v>20</v>
      </c>
      <c r="E26" s="1277" t="s">
        <v>20</v>
      </c>
      <c r="F26" s="10"/>
    </row>
    <row r="27" spans="2:8">
      <c r="B27" s="188"/>
      <c r="C27" s="350"/>
      <c r="D27" s="350"/>
      <c r="E27" s="350"/>
      <c r="F27" s="350"/>
    </row>
    <row r="28" spans="2:8">
      <c r="B28" s="188"/>
      <c r="C28" s="350"/>
      <c r="D28" s="350"/>
      <c r="E28" s="350"/>
      <c r="F28" s="350"/>
    </row>
    <row r="29" spans="2:8">
      <c r="B29" s="188"/>
      <c r="C29" s="350"/>
      <c r="D29" s="350"/>
      <c r="E29" s="350"/>
      <c r="F29" s="350"/>
    </row>
    <row r="30" spans="2:8">
      <c r="B30" s="188"/>
      <c r="C30" s="350"/>
      <c r="D30" s="350"/>
      <c r="E30" s="350"/>
      <c r="F30" s="350"/>
    </row>
    <row r="31" spans="2:8">
      <c r="B31" s="188" t="s">
        <v>502</v>
      </c>
      <c r="C31" s="350"/>
      <c r="D31" s="350"/>
      <c r="E31" s="350"/>
      <c r="F31" s="350"/>
    </row>
    <row r="32" spans="2:8">
      <c r="B32" s="188"/>
      <c r="C32" s="350"/>
      <c r="D32" s="350"/>
      <c r="E32" s="350"/>
      <c r="F32" s="350"/>
    </row>
    <row r="33" spans="2:6">
      <c r="B33" s="188"/>
      <c r="C33" s="350"/>
      <c r="D33" s="350"/>
      <c r="E33" s="350"/>
      <c r="F33" s="350"/>
    </row>
    <row r="34" spans="2:6">
      <c r="B34" s="1242" t="s">
        <v>109</v>
      </c>
      <c r="C34" s="1292"/>
      <c r="D34" s="1292">
        <f>+SUM(D27:D33)</f>
        <v>0</v>
      </c>
      <c r="E34" s="1292">
        <f t="shared" ref="E34" si="2">+SUM(E27:E33)</f>
        <v>0</v>
      </c>
      <c r="F34" s="459"/>
    </row>
  </sheetData>
  <mergeCells count="5">
    <mergeCell ref="B5:B8"/>
    <mergeCell ref="C5:D5"/>
    <mergeCell ref="E5:F5"/>
    <mergeCell ref="B25:B26"/>
    <mergeCell ref="G5:H5"/>
  </mergeCells>
  <hyperlinks>
    <hyperlink ref="E1" location="'Est Situacion'!A1" display="Volver" xr:uid="{00000000-0004-0000-1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tabColor theme="3" tint="0.39997558519241921"/>
  </sheetPr>
  <dimension ref="A1:Q63"/>
  <sheetViews>
    <sheetView showGridLines="0" workbookViewId="0">
      <selection activeCell="N18" sqref="A8:N18"/>
    </sheetView>
  </sheetViews>
  <sheetFormatPr baseColWidth="10" defaultColWidth="11.46484375" defaultRowHeight="13.15"/>
  <cols>
    <col min="1" max="2" width="11.46484375" style="1"/>
    <col min="3" max="3" width="15" style="1" bestFit="1" customWidth="1"/>
    <col min="4" max="4" width="18.796875" style="1" customWidth="1"/>
    <col min="5" max="7" width="11.46484375" style="1"/>
    <col min="8" max="8" width="12.796875" style="1" bestFit="1" customWidth="1"/>
    <col min="9" max="9" width="12.796875" style="1" customWidth="1"/>
    <col min="10" max="11" width="12.796875" style="1" bestFit="1" customWidth="1"/>
    <col min="12" max="12" width="12.796875" style="1" customWidth="1"/>
    <col min="13" max="13" width="12.796875" style="1" bestFit="1" customWidth="1"/>
    <col min="14" max="14" width="52.19921875" style="1" bestFit="1" customWidth="1"/>
    <col min="15" max="16384" width="11.46484375" style="1"/>
  </cols>
  <sheetData>
    <row r="1" spans="1:17" ht="14.25">
      <c r="A1" s="33" t="s">
        <v>220</v>
      </c>
    </row>
    <row r="3" spans="1:17" ht="14.25">
      <c r="A3" s="56" t="s">
        <v>417</v>
      </c>
    </row>
    <row r="4" spans="1:17">
      <c r="B4" s="1" t="s">
        <v>228</v>
      </c>
    </row>
    <row r="7" spans="1:17">
      <c r="B7" s="1295"/>
      <c r="C7" s="1296"/>
      <c r="D7" s="1296"/>
      <c r="E7" s="1296"/>
      <c r="F7" s="1296"/>
      <c r="G7" s="1296"/>
      <c r="H7" s="2334" t="s">
        <v>196</v>
      </c>
      <c r="I7" s="2335"/>
      <c r="J7" s="2335"/>
      <c r="K7" s="2334" t="s">
        <v>227</v>
      </c>
      <c r="L7" s="2335"/>
      <c r="M7" s="2336"/>
    </row>
    <row r="8" spans="1:17" ht="26.25">
      <c r="B8" s="1267"/>
      <c r="C8" s="1268"/>
      <c r="D8" s="2333" t="s">
        <v>224</v>
      </c>
      <c r="E8" s="1268"/>
      <c r="F8" s="1268" t="s">
        <v>222</v>
      </c>
      <c r="G8" s="1231" t="s">
        <v>221</v>
      </c>
      <c r="H8" s="1297" t="s">
        <v>141</v>
      </c>
      <c r="I8" s="1297" t="s">
        <v>199</v>
      </c>
      <c r="J8" s="1297" t="s">
        <v>199</v>
      </c>
      <c r="K8" s="1297" t="s">
        <v>141</v>
      </c>
      <c r="L8" s="1298" t="s">
        <v>199</v>
      </c>
      <c r="M8" s="1298" t="s">
        <v>199</v>
      </c>
    </row>
    <row r="9" spans="1:17" ht="13.5" thickBot="1">
      <c r="B9" s="1267" t="s">
        <v>223</v>
      </c>
      <c r="C9" s="1268" t="s">
        <v>207</v>
      </c>
      <c r="D9" s="2333"/>
      <c r="E9" s="1268" t="s">
        <v>131</v>
      </c>
      <c r="F9" s="1268" t="s">
        <v>225</v>
      </c>
      <c r="G9" s="1299" t="s">
        <v>226</v>
      </c>
      <c r="H9" s="1300">
        <f>+Datos!D6</f>
        <v>45657</v>
      </c>
      <c r="I9" s="1300">
        <f>+Datos!E6</f>
        <v>45291</v>
      </c>
      <c r="J9" s="1300">
        <f>+Datos!F6</f>
        <v>44927</v>
      </c>
      <c r="K9" s="1300">
        <f>+Datos!D6</f>
        <v>45657</v>
      </c>
      <c r="L9" s="1301">
        <f>+Datos!E6</f>
        <v>45291</v>
      </c>
      <c r="M9" s="1301">
        <f>+Datos!F6</f>
        <v>44927</v>
      </c>
    </row>
    <row r="10" spans="1:17" ht="13.5" thickBot="1">
      <c r="B10" s="1276"/>
      <c r="C10" s="1220"/>
      <c r="D10" s="1220"/>
      <c r="E10" s="1220"/>
      <c r="F10" s="1302" t="s">
        <v>230</v>
      </c>
      <c r="G10" s="1220"/>
      <c r="H10" s="1221" t="s">
        <v>20</v>
      </c>
      <c r="I10" s="1221" t="s">
        <v>20</v>
      </c>
      <c r="J10" s="1221" t="s">
        <v>20</v>
      </c>
      <c r="K10" s="1221" t="s">
        <v>20</v>
      </c>
      <c r="L10" s="1277" t="s">
        <v>20</v>
      </c>
      <c r="M10" s="1277" t="s">
        <v>20</v>
      </c>
      <c r="N10" s="589"/>
      <c r="O10" s="593">
        <f>+K9</f>
        <v>45657</v>
      </c>
      <c r="P10" s="593">
        <f>+L9</f>
        <v>45291</v>
      </c>
      <c r="Q10" s="593">
        <f>+M9</f>
        <v>44927</v>
      </c>
    </row>
    <row r="11" spans="1:17">
      <c r="B11" s="188"/>
      <c r="C11" s="188"/>
      <c r="D11" s="188"/>
      <c r="E11" s="188"/>
      <c r="F11" s="188"/>
      <c r="G11" s="188"/>
      <c r="H11" s="315"/>
      <c r="I11" s="315"/>
      <c r="J11" s="315"/>
      <c r="K11" s="315"/>
      <c r="L11" s="315"/>
      <c r="M11" s="315"/>
      <c r="N11" s="587"/>
      <c r="O11" s="573"/>
      <c r="P11" s="573"/>
      <c r="Q11" s="573"/>
    </row>
    <row r="12" spans="1:17">
      <c r="D12" s="188"/>
      <c r="E12" s="188"/>
      <c r="F12" s="188"/>
      <c r="G12" s="188" t="s">
        <v>635</v>
      </c>
      <c r="H12" s="315"/>
      <c r="I12" s="315"/>
      <c r="J12" s="315"/>
      <c r="K12" s="315"/>
      <c r="L12" s="315"/>
      <c r="M12" s="315"/>
      <c r="N12" s="587"/>
      <c r="O12" s="573"/>
      <c r="P12" s="573"/>
      <c r="Q12" s="573"/>
    </row>
    <row r="13" spans="1:17" ht="13.5" thickBot="1">
      <c r="D13" s="188"/>
      <c r="E13" s="188"/>
      <c r="F13" s="188"/>
      <c r="G13" s="188" t="s">
        <v>635</v>
      </c>
      <c r="H13" s="315"/>
      <c r="I13" s="315"/>
      <c r="J13" s="315"/>
      <c r="K13" s="315"/>
      <c r="L13" s="315"/>
      <c r="M13" s="315"/>
      <c r="N13" s="599"/>
      <c r="O13" s="601"/>
      <c r="P13" s="601"/>
      <c r="Q13" s="601"/>
    </row>
    <row r="14" spans="1:17">
      <c r="D14" s="188"/>
      <c r="E14" s="188"/>
      <c r="F14" s="188"/>
      <c r="G14" s="188" t="s">
        <v>635</v>
      </c>
      <c r="H14" s="315"/>
      <c r="I14" s="315"/>
      <c r="J14" s="315"/>
      <c r="K14" s="315"/>
      <c r="L14" s="315"/>
      <c r="M14" s="315"/>
    </row>
    <row r="15" spans="1:17">
      <c r="D15" s="188"/>
      <c r="E15" s="188"/>
      <c r="F15" s="188"/>
      <c r="G15" s="188" t="s">
        <v>635</v>
      </c>
      <c r="H15" s="315"/>
      <c r="I15" s="315"/>
      <c r="J15" s="315"/>
      <c r="K15" s="315"/>
      <c r="L15" s="315"/>
      <c r="M15" s="315"/>
    </row>
    <row r="16" spans="1:17">
      <c r="B16" s="188"/>
      <c r="C16" s="188" t="s">
        <v>375</v>
      </c>
      <c r="D16" s="188"/>
      <c r="E16" s="188"/>
      <c r="F16" s="188"/>
      <c r="G16" s="188" t="s">
        <v>635</v>
      </c>
      <c r="H16" s="315"/>
      <c r="I16" s="315"/>
      <c r="J16" s="315"/>
      <c r="K16" s="315"/>
      <c r="L16" s="315"/>
      <c r="M16" s="315"/>
    </row>
    <row r="17" spans="2:17">
      <c r="B17" s="188"/>
      <c r="C17" s="188" t="s">
        <v>375</v>
      </c>
      <c r="D17" s="188"/>
      <c r="E17" s="188"/>
      <c r="F17" s="188"/>
      <c r="G17" s="188" t="s">
        <v>635</v>
      </c>
      <c r="H17" s="315"/>
      <c r="I17" s="315"/>
      <c r="J17" s="315"/>
      <c r="K17" s="315"/>
      <c r="L17" s="315"/>
      <c r="M17" s="315"/>
    </row>
    <row r="18" spans="2:17">
      <c r="B18" s="188"/>
      <c r="C18" s="188" t="s">
        <v>375</v>
      </c>
      <c r="D18" s="188"/>
      <c r="E18" s="188"/>
      <c r="F18" s="188"/>
      <c r="G18" s="188" t="s">
        <v>635</v>
      </c>
      <c r="H18" s="315"/>
      <c r="I18" s="315"/>
      <c r="J18" s="315"/>
      <c r="K18" s="315"/>
      <c r="L18" s="315"/>
      <c r="M18" s="315"/>
    </row>
    <row r="19" spans="2:17">
      <c r="B19" s="188"/>
      <c r="C19" s="188" t="s">
        <v>375</v>
      </c>
      <c r="D19" s="188"/>
      <c r="E19" s="188"/>
      <c r="F19" s="188"/>
      <c r="G19" s="188" t="s">
        <v>635</v>
      </c>
      <c r="H19" s="315"/>
      <c r="I19" s="315"/>
      <c r="J19" s="315"/>
      <c r="K19" s="315"/>
      <c r="L19" s="315"/>
      <c r="M19" s="315"/>
    </row>
    <row r="20" spans="2:17" s="2" customFormat="1">
      <c r="B20" s="1303"/>
      <c r="C20" s="1304" t="s">
        <v>109</v>
      </c>
      <c r="D20" s="1305"/>
      <c r="E20" s="1305"/>
      <c r="F20" s="1305"/>
      <c r="G20" s="1305"/>
      <c r="H20" s="1306">
        <f t="shared" ref="H20:M20" si="0">+SUM(H11:H19)</f>
        <v>0</v>
      </c>
      <c r="I20" s="1306">
        <f t="shared" si="0"/>
        <v>0</v>
      </c>
      <c r="J20" s="1306">
        <f t="shared" si="0"/>
        <v>0</v>
      </c>
      <c r="K20" s="1306">
        <f t="shared" si="0"/>
        <v>0</v>
      </c>
      <c r="L20" s="1306">
        <f t="shared" si="0"/>
        <v>0</v>
      </c>
      <c r="M20" s="1306">
        <f t="shared" si="0"/>
        <v>0</v>
      </c>
    </row>
    <row r="21" spans="2:17">
      <c r="H21" s="152"/>
      <c r="I21" s="152"/>
      <c r="J21" s="152"/>
      <c r="K21" s="152"/>
      <c r="L21" s="152"/>
      <c r="M21" s="152"/>
    </row>
    <row r="22" spans="2:17">
      <c r="B22" s="3"/>
      <c r="C22" s="25" t="s">
        <v>203</v>
      </c>
      <c r="D22" s="25"/>
      <c r="E22" s="25"/>
      <c r="F22" s="25"/>
      <c r="G22" s="25"/>
      <c r="H22" s="351">
        <f>+H20-'Est Situacion'!G13</f>
        <v>0</v>
      </c>
      <c r="I22" s="351">
        <f>+I20-'Est Situacion'!H13</f>
        <v>0</v>
      </c>
      <c r="J22" s="351">
        <f>+J20-'Est Situacion'!I13</f>
        <v>0</v>
      </c>
      <c r="K22" s="351">
        <f>+K20-'Est Situacion'!G29</f>
        <v>0</v>
      </c>
      <c r="L22" s="351">
        <f>+L20-'Est Situacion'!H29</f>
        <v>0</v>
      </c>
      <c r="M22" s="351">
        <f>+M20-'Est Situacion'!I29</f>
        <v>0</v>
      </c>
    </row>
    <row r="25" spans="2:17">
      <c r="B25" s="1" t="s">
        <v>229</v>
      </c>
    </row>
    <row r="27" spans="2:17">
      <c r="B27" s="1295"/>
      <c r="C27" s="1296"/>
      <c r="D27" s="1296"/>
      <c r="E27" s="1296"/>
      <c r="F27" s="1296"/>
      <c r="G27" s="1296"/>
      <c r="H27" s="2334" t="s">
        <v>196</v>
      </c>
      <c r="I27" s="2335"/>
      <c r="J27" s="2335"/>
      <c r="K27" s="2334" t="s">
        <v>227</v>
      </c>
      <c r="L27" s="2335"/>
      <c r="M27" s="2336"/>
    </row>
    <row r="28" spans="2:17" ht="26.25">
      <c r="B28" s="1267"/>
      <c r="C28" s="1268"/>
      <c r="D28" s="2333" t="s">
        <v>224</v>
      </c>
      <c r="E28" s="1268"/>
      <c r="F28" s="1268" t="s">
        <v>222</v>
      </c>
      <c r="G28" s="1231" t="s">
        <v>221</v>
      </c>
      <c r="H28" s="1297" t="s">
        <v>141</v>
      </c>
      <c r="I28" s="1297" t="s">
        <v>199</v>
      </c>
      <c r="J28" s="1297" t="s">
        <v>199</v>
      </c>
      <c r="K28" s="1297" t="s">
        <v>141</v>
      </c>
      <c r="L28" s="1298" t="s">
        <v>199</v>
      </c>
      <c r="M28" s="1298" t="s">
        <v>199</v>
      </c>
    </row>
    <row r="29" spans="2:17">
      <c r="B29" s="1267" t="s">
        <v>223</v>
      </c>
      <c r="C29" s="1268" t="s">
        <v>207</v>
      </c>
      <c r="D29" s="2333"/>
      <c r="E29" s="1268" t="s">
        <v>131</v>
      </c>
      <c r="F29" s="1268" t="s">
        <v>225</v>
      </c>
      <c r="G29" s="1299" t="s">
        <v>226</v>
      </c>
      <c r="H29" s="1300">
        <f>+Datos!D6</f>
        <v>45657</v>
      </c>
      <c r="I29" s="1300">
        <f>+Datos!E6</f>
        <v>45291</v>
      </c>
      <c r="J29" s="1300">
        <f>+Datos!F6</f>
        <v>44927</v>
      </c>
      <c r="K29" s="1300">
        <f>+Datos!D6</f>
        <v>45657</v>
      </c>
      <c r="L29" s="1301">
        <f>+Datos!E6</f>
        <v>45291</v>
      </c>
      <c r="M29" s="1301">
        <f>+Datos!F6</f>
        <v>44927</v>
      </c>
    </row>
    <row r="30" spans="2:17" ht="13.5" thickBot="1">
      <c r="B30" s="1276"/>
      <c r="C30" s="1220"/>
      <c r="D30" s="1220"/>
      <c r="E30" s="1220"/>
      <c r="F30" s="1302" t="s">
        <v>230</v>
      </c>
      <c r="G30" s="1220"/>
      <c r="H30" s="1221" t="s">
        <v>20</v>
      </c>
      <c r="I30" s="1221" t="s">
        <v>20</v>
      </c>
      <c r="J30" s="1221" t="s">
        <v>20</v>
      </c>
      <c r="K30" s="1221" t="s">
        <v>20</v>
      </c>
      <c r="L30" s="1277" t="s">
        <v>20</v>
      </c>
      <c r="M30" s="1277" t="s">
        <v>20</v>
      </c>
    </row>
    <row r="31" spans="2:17" ht="13.5" thickBot="1">
      <c r="H31" s="152"/>
      <c r="I31" s="152"/>
      <c r="J31" s="152"/>
      <c r="K31" s="152"/>
      <c r="L31" s="152"/>
      <c r="M31" s="152"/>
      <c r="N31" s="589"/>
      <c r="O31" s="590">
        <f>+O10</f>
        <v>45657</v>
      </c>
      <c r="P31" s="590">
        <f t="shared" ref="P31:Q31" si="1">+P10</f>
        <v>45291</v>
      </c>
      <c r="Q31" s="590">
        <f t="shared" si="1"/>
        <v>44927</v>
      </c>
    </row>
    <row r="32" spans="2:17">
      <c r="D32" s="188"/>
      <c r="E32" s="188"/>
      <c r="F32" s="188"/>
      <c r="G32" s="188" t="s">
        <v>635</v>
      </c>
      <c r="H32" s="315"/>
      <c r="I32" s="315"/>
      <c r="J32" s="315"/>
      <c r="K32" s="315"/>
      <c r="L32" s="315"/>
      <c r="M32" s="315"/>
      <c r="N32" s="587"/>
      <c r="O32" s="573"/>
      <c r="P32" s="573"/>
      <c r="Q32" s="573"/>
    </row>
    <row r="33" spans="2:17" ht="13.5" thickBot="1">
      <c r="D33" s="188"/>
      <c r="E33" s="188"/>
      <c r="F33" s="188"/>
      <c r="G33" s="188" t="s">
        <v>635</v>
      </c>
      <c r="H33" s="315"/>
      <c r="I33" s="315"/>
      <c r="J33" s="315"/>
      <c r="K33" s="315"/>
      <c r="L33" s="315"/>
      <c r="M33" s="315"/>
      <c r="N33" s="602"/>
      <c r="O33" s="573"/>
      <c r="P33" s="573"/>
      <c r="Q33" s="603"/>
    </row>
    <row r="34" spans="2:17" ht="13.5" thickBot="1">
      <c r="B34" s="188"/>
      <c r="C34" s="188"/>
      <c r="D34" s="188"/>
      <c r="E34" s="188"/>
      <c r="F34" s="188"/>
      <c r="G34" s="188" t="s">
        <v>635</v>
      </c>
      <c r="H34" s="315"/>
      <c r="I34" s="315"/>
      <c r="J34" s="315"/>
      <c r="K34" s="315"/>
      <c r="L34" s="315"/>
      <c r="M34" s="315"/>
      <c r="N34" s="586"/>
      <c r="O34" s="574"/>
      <c r="P34" s="574"/>
      <c r="Q34" s="574"/>
    </row>
    <row r="35" spans="2:17">
      <c r="B35" s="188"/>
      <c r="C35" s="188" t="s">
        <v>375</v>
      </c>
      <c r="D35" s="188"/>
      <c r="E35" s="188"/>
      <c r="F35" s="188"/>
      <c r="G35" s="188" t="s">
        <v>635</v>
      </c>
      <c r="H35" s="315"/>
      <c r="I35" s="315"/>
      <c r="J35" s="315"/>
      <c r="K35" s="315"/>
      <c r="L35" s="315"/>
      <c r="M35" s="315"/>
    </row>
    <row r="36" spans="2:17">
      <c r="B36" s="188"/>
      <c r="C36" s="188" t="s">
        <v>375</v>
      </c>
      <c r="D36" s="188"/>
      <c r="E36" s="188"/>
      <c r="F36" s="188"/>
      <c r="G36" s="188" t="s">
        <v>635</v>
      </c>
      <c r="H36" s="315"/>
      <c r="I36" s="315"/>
      <c r="J36" s="315"/>
      <c r="K36" s="315"/>
      <c r="L36" s="315"/>
      <c r="M36" s="315"/>
    </row>
    <row r="37" spans="2:17">
      <c r="B37" s="188"/>
      <c r="C37" s="188" t="s">
        <v>375</v>
      </c>
      <c r="D37" s="188"/>
      <c r="E37" s="188"/>
      <c r="F37" s="188"/>
      <c r="G37" s="188" t="s">
        <v>635</v>
      </c>
      <c r="H37" s="315"/>
      <c r="I37" s="315"/>
      <c r="J37" s="315"/>
      <c r="K37" s="315"/>
      <c r="L37" s="315"/>
      <c r="M37" s="315"/>
    </row>
    <row r="38" spans="2:17">
      <c r="B38" s="188"/>
      <c r="C38" s="188" t="s">
        <v>375</v>
      </c>
      <c r="D38" s="188"/>
      <c r="E38" s="188"/>
      <c r="F38" s="188"/>
      <c r="G38" s="188" t="s">
        <v>635</v>
      </c>
      <c r="H38" s="315"/>
      <c r="I38" s="315"/>
      <c r="J38" s="315"/>
      <c r="K38" s="315"/>
      <c r="L38" s="315"/>
      <c r="M38" s="315"/>
    </row>
    <row r="39" spans="2:17">
      <c r="B39" s="1242"/>
      <c r="C39" s="1307" t="s">
        <v>109</v>
      </c>
      <c r="D39" s="1224"/>
      <c r="E39" s="1224"/>
      <c r="F39" s="1224"/>
      <c r="G39" s="1224"/>
      <c r="H39" s="1259">
        <f t="shared" ref="H39:K39" si="2">+SUM(H31:H38)</f>
        <v>0</v>
      </c>
      <c r="I39" s="1259">
        <f>+SUM(I31:I38)</f>
        <v>0</v>
      </c>
      <c r="J39" s="1259">
        <f>+SUM(J31:J38)</f>
        <v>0</v>
      </c>
      <c r="K39" s="1259">
        <f t="shared" si="2"/>
        <v>0</v>
      </c>
      <c r="L39" s="1259">
        <f>+SUM(L31:L38)</f>
        <v>0</v>
      </c>
      <c r="M39" s="1259">
        <f>+SUM(M31:M38)</f>
        <v>0</v>
      </c>
    </row>
    <row r="40" spans="2:17">
      <c r="H40" s="152"/>
      <c r="I40" s="152"/>
      <c r="J40" s="152"/>
      <c r="K40" s="152"/>
      <c r="L40" s="152"/>
      <c r="M40" s="152"/>
    </row>
    <row r="41" spans="2:17">
      <c r="B41" s="3"/>
      <c r="C41" s="25" t="s">
        <v>203</v>
      </c>
      <c r="D41" s="25"/>
      <c r="E41" s="25"/>
      <c r="F41" s="25"/>
      <c r="G41" s="25"/>
      <c r="H41" s="351">
        <f>+H39-'Est Situacion'!G48</f>
        <v>0</v>
      </c>
      <c r="I41" s="351">
        <f>+I39-'Est Situacion'!H48</f>
        <v>0</v>
      </c>
      <c r="J41" s="351">
        <f>+J39-'Est Situacion'!I48</f>
        <v>0</v>
      </c>
      <c r="K41" s="351">
        <f>+K39-'Est Situacion'!G64</f>
        <v>0</v>
      </c>
      <c r="L41" s="351">
        <f>+L39-'Est Situacion'!H64</f>
        <v>0</v>
      </c>
      <c r="M41" s="351">
        <f>+M39-'Est Situacion'!I64</f>
        <v>0</v>
      </c>
    </row>
    <row r="46" spans="2:17">
      <c r="B46" s="324"/>
      <c r="C46" s="325"/>
    </row>
    <row r="47" spans="2:17">
      <c r="B47" s="324"/>
      <c r="C47" s="325"/>
    </row>
    <row r="48" spans="2:17">
      <c r="B48" s="324"/>
      <c r="C48" s="325"/>
    </row>
    <row r="49" spans="2:3">
      <c r="B49" s="324"/>
      <c r="C49" s="325"/>
    </row>
    <row r="50" spans="2:3">
      <c r="B50" s="324"/>
      <c r="C50" s="325"/>
    </row>
    <row r="51" spans="2:3">
      <c r="B51" s="324"/>
      <c r="C51" s="325"/>
    </row>
    <row r="52" spans="2:3">
      <c r="B52" s="324"/>
      <c r="C52" s="325"/>
    </row>
    <row r="53" spans="2:3">
      <c r="B53" s="324"/>
      <c r="C53" s="325"/>
    </row>
    <row r="54" spans="2:3">
      <c r="B54" s="324"/>
      <c r="C54" s="325"/>
    </row>
    <row r="55" spans="2:3">
      <c r="B55" s="324"/>
      <c r="C55" s="325"/>
    </row>
    <row r="56" spans="2:3">
      <c r="B56" s="324"/>
      <c r="C56" s="325"/>
    </row>
    <row r="57" spans="2:3">
      <c r="B57" s="324"/>
      <c r="C57" s="325"/>
    </row>
    <row r="58" spans="2:3">
      <c r="B58" s="324"/>
      <c r="C58" s="325"/>
    </row>
    <row r="59" spans="2:3">
      <c r="B59" s="324"/>
      <c r="C59" s="325"/>
    </row>
    <row r="60" spans="2:3">
      <c r="B60" s="324"/>
      <c r="C60" s="325"/>
    </row>
    <row r="61" spans="2:3">
      <c r="B61" s="324"/>
      <c r="C61" s="325"/>
    </row>
    <row r="62" spans="2:3">
      <c r="B62" s="324"/>
      <c r="C62" s="325"/>
    </row>
    <row r="63" spans="2:3">
      <c r="B63" s="324"/>
      <c r="C63" s="325"/>
    </row>
  </sheetData>
  <mergeCells count="6">
    <mergeCell ref="D28:D29"/>
    <mergeCell ref="H7:J7"/>
    <mergeCell ref="D8:D9"/>
    <mergeCell ref="K7:M7"/>
    <mergeCell ref="H27:J27"/>
    <mergeCell ref="K27:M27"/>
  </mergeCells>
  <hyperlinks>
    <hyperlink ref="A3" location="'Est Situacion'!A1" display="Volver" xr:uid="{00000000-0004-0000-1A00-000000000000}"/>
  </hyperlinks>
  <pageMargins left="0.70866141732283472" right="0.70866141732283472" top="0.74803149606299213" bottom="0.74803149606299213" header="0.31496062992125984" footer="0.31496062992125984"/>
  <pageSetup scale="64" fitToHeight="2" orientation="landscape" r:id="rId1"/>
  <rowBreaks count="1" manualBreakCount="1">
    <brk id="23" max="16383" man="1"/>
  </rowBreaks>
  <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tabColor theme="3" tint="0.39997558519241921"/>
    <pageSetUpPr fitToPage="1"/>
  </sheetPr>
  <dimension ref="A1:X105"/>
  <sheetViews>
    <sheetView showGridLines="0" topLeftCell="E1" workbookViewId="0">
      <selection activeCell="G17" sqref="G17"/>
    </sheetView>
  </sheetViews>
  <sheetFormatPr baseColWidth="10" defaultColWidth="11.46484375" defaultRowHeight="13.15"/>
  <cols>
    <col min="1" max="2" width="11.46484375" style="1"/>
    <col min="3" max="3" width="37.796875" style="1" customWidth="1"/>
    <col min="4" max="5" width="18.796875" style="1" customWidth="1"/>
    <col min="6" max="6" width="41.796875" style="1" customWidth="1"/>
    <col min="7" max="12" width="12.46484375" style="1" customWidth="1"/>
    <col min="13" max="13" width="31" style="1" customWidth="1"/>
    <col min="14" max="14" width="42.796875" style="1" customWidth="1"/>
    <col min="15" max="16384" width="11.46484375" style="1"/>
  </cols>
  <sheetData>
    <row r="1" spans="1:18" ht="14.25">
      <c r="A1" s="33" t="s">
        <v>220</v>
      </c>
    </row>
    <row r="2" spans="1:18">
      <c r="A2" s="1" t="s">
        <v>239</v>
      </c>
    </row>
    <row r="3" spans="1:18">
      <c r="R3" s="495"/>
    </row>
    <row r="4" spans="1:18" ht="14.25">
      <c r="G4" s="2331" t="s">
        <v>237</v>
      </c>
      <c r="H4" s="2332"/>
      <c r="I4" s="2331" t="s">
        <v>237</v>
      </c>
      <c r="J4" s="2332"/>
      <c r="K4" s="2331" t="s">
        <v>237</v>
      </c>
      <c r="L4" s="2332"/>
      <c r="M4" s="2331"/>
      <c r="N4" s="2332"/>
      <c r="R4"/>
    </row>
    <row r="5" spans="1:18">
      <c r="G5" s="2337">
        <f>+Datos!D8</f>
        <v>45657</v>
      </c>
      <c r="H5" s="2338"/>
      <c r="I5" s="2337">
        <f>+Datos!E8</f>
        <v>45291</v>
      </c>
      <c r="J5" s="2338"/>
      <c r="K5" s="2337">
        <f>+Datos!F6</f>
        <v>44927</v>
      </c>
      <c r="L5" s="2338"/>
      <c r="M5" s="2337"/>
      <c r="N5" s="2338"/>
      <c r="R5" s="495"/>
    </row>
    <row r="6" spans="1:18" ht="14.25">
      <c r="B6" s="1295"/>
      <c r="C6" s="1296"/>
      <c r="D6" s="1251"/>
      <c r="E6" s="1251"/>
      <c r="F6" s="1251"/>
      <c r="G6" s="1252"/>
      <c r="H6" s="1308" t="s">
        <v>236</v>
      </c>
      <c r="I6" s="1252"/>
      <c r="J6" s="1308" t="s">
        <v>236</v>
      </c>
      <c r="K6" s="1252"/>
      <c r="L6" s="1308" t="s">
        <v>236</v>
      </c>
      <c r="M6" s="1252"/>
      <c r="N6" s="1309"/>
      <c r="R6"/>
    </row>
    <row r="7" spans="1:18">
      <c r="B7" s="1267"/>
      <c r="C7" s="1268"/>
      <c r="D7" s="2333" t="s">
        <v>224</v>
      </c>
      <c r="E7" s="1268" t="s">
        <v>232</v>
      </c>
      <c r="F7" s="1268" t="s">
        <v>710</v>
      </c>
      <c r="G7" s="1267" t="s">
        <v>235</v>
      </c>
      <c r="H7" s="1287" t="s">
        <v>110</v>
      </c>
      <c r="I7" s="1267" t="s">
        <v>235</v>
      </c>
      <c r="J7" s="1287" t="s">
        <v>110</v>
      </c>
      <c r="K7" s="1267" t="s">
        <v>235</v>
      </c>
      <c r="L7" s="1287" t="s">
        <v>110</v>
      </c>
      <c r="M7" s="1267" t="s">
        <v>760</v>
      </c>
      <c r="N7" s="1310" t="s">
        <v>762</v>
      </c>
      <c r="R7" s="495"/>
    </row>
    <row r="8" spans="1:18">
      <c r="B8" s="1267" t="s">
        <v>223</v>
      </c>
      <c r="C8" s="1268" t="s">
        <v>207</v>
      </c>
      <c r="D8" s="2333"/>
      <c r="E8" s="1268" t="s">
        <v>233</v>
      </c>
      <c r="F8" s="1268" t="s">
        <v>233</v>
      </c>
      <c r="G8" s="1267"/>
      <c r="H8" s="1311" t="s">
        <v>231</v>
      </c>
      <c r="I8" s="1267"/>
      <c r="J8" s="1311" t="s">
        <v>231</v>
      </c>
      <c r="K8" s="1267"/>
      <c r="L8" s="1311" t="s">
        <v>231</v>
      </c>
      <c r="M8" s="1267"/>
      <c r="N8" s="1312"/>
    </row>
    <row r="9" spans="1:18">
      <c r="B9" s="1276"/>
      <c r="C9" s="1220"/>
      <c r="D9" s="1257"/>
      <c r="E9" s="1221" t="s">
        <v>234</v>
      </c>
      <c r="F9" s="1221" t="s">
        <v>234</v>
      </c>
      <c r="G9" s="1270" t="s">
        <v>20</v>
      </c>
      <c r="H9" s="1277" t="s">
        <v>20</v>
      </c>
      <c r="I9" s="1270" t="s">
        <v>20</v>
      </c>
      <c r="J9" s="1277" t="s">
        <v>20</v>
      </c>
      <c r="K9" s="1270" t="s">
        <v>20</v>
      </c>
      <c r="L9" s="1277" t="s">
        <v>20</v>
      </c>
      <c r="M9" s="1270" t="s">
        <v>761</v>
      </c>
      <c r="N9" s="1222"/>
    </row>
    <row r="10" spans="1:18">
      <c r="D10" s="188"/>
      <c r="E10" s="188"/>
      <c r="F10" s="188"/>
      <c r="G10" s="352"/>
      <c r="H10" s="353"/>
      <c r="I10" s="352"/>
      <c r="J10" s="353"/>
      <c r="K10" s="352"/>
      <c r="L10" s="353"/>
      <c r="M10" s="352"/>
      <c r="N10" s="492"/>
    </row>
    <row r="11" spans="1:18">
      <c r="A11" s="1">
        <v>1</v>
      </c>
      <c r="B11" s="188"/>
      <c r="C11" s="188"/>
      <c r="D11" s="188" t="s">
        <v>730</v>
      </c>
      <c r="E11" s="188" t="s">
        <v>711</v>
      </c>
      <c r="F11" s="188" t="s">
        <v>714</v>
      </c>
      <c r="G11" s="321"/>
      <c r="H11" s="320"/>
      <c r="I11" s="321"/>
      <c r="J11" s="320"/>
      <c r="K11" s="321"/>
      <c r="L11" s="320"/>
      <c r="M11" s="493"/>
      <c r="N11" s="493"/>
      <c r="O11" s="108" t="s">
        <v>711</v>
      </c>
    </row>
    <row r="12" spans="1:18">
      <c r="A12" s="1">
        <v>1</v>
      </c>
      <c r="B12" s="188"/>
      <c r="C12" s="188"/>
      <c r="D12" s="188"/>
      <c r="E12" s="188"/>
      <c r="F12" s="188"/>
      <c r="G12" s="321"/>
      <c r="H12" s="320"/>
      <c r="I12" s="321"/>
      <c r="J12" s="320"/>
      <c r="K12" s="321"/>
      <c r="L12" s="320"/>
      <c r="M12" s="493"/>
      <c r="N12" s="493"/>
      <c r="O12" s="108" t="s">
        <v>713</v>
      </c>
    </row>
    <row r="13" spans="1:18" s="188" customFormat="1">
      <c r="G13" s="321"/>
      <c r="H13" s="320"/>
      <c r="I13" s="321"/>
      <c r="J13" s="320"/>
      <c r="K13" s="321"/>
      <c r="L13" s="320"/>
      <c r="M13" s="493"/>
      <c r="N13" s="493"/>
    </row>
    <row r="14" spans="1:18" s="188" customFormat="1">
      <c r="G14" s="321"/>
      <c r="H14" s="320"/>
      <c r="I14" s="321"/>
      <c r="J14" s="320"/>
      <c r="K14" s="321"/>
      <c r="L14" s="320"/>
      <c r="M14" s="493"/>
      <c r="N14" s="493"/>
    </row>
    <row r="15" spans="1:18" s="188" customFormat="1">
      <c r="G15" s="321"/>
      <c r="H15" s="320"/>
      <c r="I15" s="321"/>
      <c r="J15" s="320"/>
      <c r="K15" s="321"/>
      <c r="L15" s="320"/>
      <c r="M15" s="494"/>
      <c r="N15" s="493"/>
    </row>
    <row r="16" spans="1:18">
      <c r="B16" s="1242"/>
      <c r="C16" s="1307" t="s">
        <v>109</v>
      </c>
      <c r="D16" s="1224"/>
      <c r="E16" s="1224"/>
      <c r="F16" s="1224"/>
      <c r="G16" s="1313">
        <f>+SUM(G10:G15)</f>
        <v>0</v>
      </c>
      <c r="H16" s="1313">
        <f t="shared" ref="H16" si="0">+SUM(H10:H15)</f>
        <v>0</v>
      </c>
      <c r="I16" s="1313">
        <f>+SUM(I10:I15)</f>
        <v>0</v>
      </c>
      <c r="J16" s="1313">
        <f>+SUM(J10:J15)</f>
        <v>0</v>
      </c>
      <c r="K16" s="1313">
        <f>+SUM(K10:K15)</f>
        <v>0</v>
      </c>
      <c r="L16" s="1313">
        <f>+SUM(L10:L15)</f>
        <v>0</v>
      </c>
      <c r="M16" s="1314"/>
      <c r="N16" s="1313"/>
    </row>
    <row r="25" spans="13:24">
      <c r="M25" s="497" t="s">
        <v>766</v>
      </c>
      <c r="N25" s="498"/>
      <c r="O25" s="284"/>
      <c r="P25" s="284"/>
      <c r="Q25" s="284"/>
      <c r="R25" s="284"/>
      <c r="S25" s="284"/>
      <c r="T25" s="284"/>
      <c r="U25" s="284"/>
      <c r="V25" s="284"/>
      <c r="W25" s="284"/>
      <c r="X25" s="284"/>
    </row>
    <row r="26" spans="13:24">
      <c r="M26" s="284" t="s">
        <v>784</v>
      </c>
      <c r="N26" s="284" t="s">
        <v>372</v>
      </c>
      <c r="O26" s="284" t="s">
        <v>764</v>
      </c>
      <c r="P26" s="284" t="s">
        <v>399</v>
      </c>
      <c r="Q26" s="284" t="s">
        <v>676</v>
      </c>
      <c r="R26" s="284" t="s">
        <v>564</v>
      </c>
      <c r="S26" s="284" t="s">
        <v>405</v>
      </c>
      <c r="T26" s="95" t="s">
        <v>620</v>
      </c>
      <c r="U26" s="284" t="s">
        <v>767</v>
      </c>
      <c r="V26" s="284" t="s">
        <v>336</v>
      </c>
      <c r="W26" s="284" t="s">
        <v>765</v>
      </c>
      <c r="X26" s="284"/>
    </row>
    <row r="27" spans="13:24">
      <c r="M27" s="284" t="s">
        <v>787</v>
      </c>
      <c r="N27" s="284" t="s">
        <v>373</v>
      </c>
      <c r="O27" s="284"/>
      <c r="P27" s="284" t="s">
        <v>400</v>
      </c>
      <c r="Q27" s="284"/>
      <c r="R27" s="284" t="s">
        <v>565</v>
      </c>
      <c r="S27" s="284" t="s">
        <v>406</v>
      </c>
      <c r="T27" s="95" t="s">
        <v>621</v>
      </c>
      <c r="U27" s="284"/>
      <c r="V27" s="284" t="s">
        <v>337</v>
      </c>
      <c r="W27" s="284"/>
      <c r="X27" s="284"/>
    </row>
    <row r="28" spans="13:24">
      <c r="M28" s="284" t="s">
        <v>783</v>
      </c>
      <c r="N28" s="284" t="s">
        <v>374</v>
      </c>
      <c r="O28" s="284"/>
      <c r="P28" s="284" t="s">
        <v>401</v>
      </c>
      <c r="Q28" s="284"/>
      <c r="R28" s="284"/>
      <c r="S28" s="284" t="s">
        <v>408</v>
      </c>
      <c r="T28" s="95" t="s">
        <v>622</v>
      </c>
      <c r="U28" s="284"/>
      <c r="V28" s="284" t="s">
        <v>338</v>
      </c>
      <c r="W28" s="284"/>
      <c r="X28" s="284"/>
    </row>
    <row r="29" spans="13:24">
      <c r="M29" s="284" t="s">
        <v>785</v>
      </c>
      <c r="N29" s="284" t="s">
        <v>712</v>
      </c>
      <c r="O29" s="284"/>
      <c r="P29" s="284" t="s">
        <v>402</v>
      </c>
      <c r="Q29" s="284"/>
      <c r="R29" s="284"/>
      <c r="S29" s="284" t="s">
        <v>409</v>
      </c>
      <c r="T29" s="95" t="s">
        <v>623</v>
      </c>
      <c r="U29" s="284"/>
      <c r="V29" s="284" t="s">
        <v>339</v>
      </c>
      <c r="W29" s="284"/>
      <c r="X29" s="284"/>
    </row>
    <row r="30" spans="13:24">
      <c r="M30" s="284" t="s">
        <v>786</v>
      </c>
      <c r="N30" s="284" t="s">
        <v>770</v>
      </c>
      <c r="O30" s="284"/>
      <c r="P30" s="284" t="s">
        <v>403</v>
      </c>
      <c r="Q30" s="284"/>
      <c r="R30" s="284"/>
      <c r="S30" s="284" t="s">
        <v>410</v>
      </c>
      <c r="T30" s="95" t="s">
        <v>624</v>
      </c>
      <c r="U30" s="284"/>
      <c r="V30" s="284" t="s">
        <v>769</v>
      </c>
      <c r="W30" s="284"/>
      <c r="X30" s="284"/>
    </row>
    <row r="31" spans="13:24">
      <c r="M31" s="284" t="s">
        <v>791</v>
      </c>
      <c r="N31" s="284" t="s">
        <v>771</v>
      </c>
      <c r="O31" s="284"/>
      <c r="P31" s="284"/>
      <c r="Q31" s="284"/>
      <c r="R31" s="284"/>
      <c r="S31" s="284" t="s">
        <v>411</v>
      </c>
      <c r="T31" s="95" t="s">
        <v>625</v>
      </c>
      <c r="U31" s="284"/>
      <c r="V31" s="284"/>
      <c r="W31" s="284"/>
      <c r="X31" s="284"/>
    </row>
    <row r="32" spans="13:24">
      <c r="M32" s="284" t="s">
        <v>782</v>
      </c>
      <c r="N32" s="284" t="s">
        <v>772</v>
      </c>
      <c r="O32" s="284"/>
      <c r="P32" s="284"/>
      <c r="Q32" s="284"/>
      <c r="R32" s="284"/>
      <c r="S32" s="284" t="s">
        <v>614</v>
      </c>
      <c r="T32" s="95" t="s">
        <v>626</v>
      </c>
      <c r="U32" s="284"/>
      <c r="V32" s="284"/>
      <c r="W32" s="284"/>
      <c r="X32" s="284"/>
    </row>
    <row r="33" spans="13:24">
      <c r="M33" s="284" t="s">
        <v>790</v>
      </c>
      <c r="N33" s="284" t="s">
        <v>773</v>
      </c>
      <c r="O33" s="284"/>
      <c r="P33" s="284"/>
      <c r="Q33" s="284"/>
      <c r="R33" s="284"/>
      <c r="S33" s="284" t="s">
        <v>412</v>
      </c>
      <c r="T33" s="95" t="s">
        <v>627</v>
      </c>
      <c r="U33" s="284"/>
      <c r="V33" s="284"/>
      <c r="W33" s="284"/>
      <c r="X33" s="284"/>
    </row>
    <row r="34" spans="13:24">
      <c r="M34" s="284" t="s">
        <v>788</v>
      </c>
      <c r="N34" s="284" t="s">
        <v>774</v>
      </c>
      <c r="O34" s="284"/>
      <c r="P34" s="284"/>
      <c r="Q34" s="284"/>
      <c r="R34" s="284"/>
      <c r="S34" s="284" t="s">
        <v>413</v>
      </c>
      <c r="T34" s="284"/>
      <c r="U34" s="284"/>
      <c r="V34" s="284"/>
      <c r="W34" s="284"/>
      <c r="X34" s="284"/>
    </row>
    <row r="35" spans="13:24">
      <c r="M35" s="284" t="s">
        <v>789</v>
      </c>
      <c r="N35" s="284" t="s">
        <v>775</v>
      </c>
      <c r="O35" s="284"/>
      <c r="P35" s="284"/>
      <c r="Q35" s="284"/>
      <c r="R35" s="284"/>
      <c r="S35" s="284" t="s">
        <v>615</v>
      </c>
      <c r="T35" s="284"/>
      <c r="U35" s="284"/>
      <c r="V35" s="284"/>
      <c r="W35" s="284"/>
      <c r="X35" s="284"/>
    </row>
    <row r="36" spans="13:24">
      <c r="M36" s="284"/>
      <c r="N36" s="284" t="s">
        <v>716</v>
      </c>
      <c r="O36" s="284"/>
      <c r="P36" s="284"/>
      <c r="Q36" s="284"/>
      <c r="R36" s="284"/>
      <c r="S36" s="284" t="s">
        <v>555</v>
      </c>
      <c r="T36" s="284"/>
      <c r="U36" s="284"/>
      <c r="V36" s="284"/>
      <c r="W36" s="284"/>
      <c r="X36" s="284"/>
    </row>
    <row r="37" spans="13:24">
      <c r="M37" s="284"/>
      <c r="N37" s="284" t="s">
        <v>776</v>
      </c>
      <c r="O37" s="284"/>
      <c r="P37" s="284"/>
      <c r="Q37" s="284"/>
      <c r="R37" s="284"/>
      <c r="S37" s="284" t="s">
        <v>556</v>
      </c>
      <c r="T37" s="284"/>
      <c r="U37" s="284"/>
      <c r="V37" s="284"/>
      <c r="W37" s="284"/>
      <c r="X37" s="284"/>
    </row>
    <row r="38" spans="13:24">
      <c r="M38" s="284"/>
      <c r="N38" s="284" t="s">
        <v>717</v>
      </c>
      <c r="O38" s="284"/>
      <c r="P38" s="284"/>
      <c r="Q38" s="284"/>
      <c r="R38" s="284"/>
      <c r="S38" s="284" t="s">
        <v>558</v>
      </c>
      <c r="T38" s="284"/>
      <c r="U38" s="284"/>
      <c r="V38" s="284"/>
      <c r="W38" s="284"/>
      <c r="X38" s="284"/>
    </row>
    <row r="39" spans="13:24">
      <c r="M39" s="284"/>
      <c r="N39" s="284" t="s">
        <v>715</v>
      </c>
      <c r="O39" s="284"/>
      <c r="P39" s="284"/>
      <c r="Q39" s="284"/>
      <c r="R39" s="284"/>
      <c r="S39" s="284" t="s">
        <v>559</v>
      </c>
      <c r="T39" s="284"/>
      <c r="U39" s="284"/>
      <c r="V39" s="284"/>
      <c r="W39" s="284"/>
      <c r="X39" s="284"/>
    </row>
    <row r="40" spans="13:24">
      <c r="M40" s="284"/>
      <c r="N40" s="284" t="s">
        <v>777</v>
      </c>
      <c r="O40" s="284"/>
      <c r="P40" s="284"/>
      <c r="Q40" s="284"/>
      <c r="R40" s="284"/>
      <c r="S40" s="284" t="s">
        <v>560</v>
      </c>
      <c r="T40" s="284"/>
      <c r="U40" s="284"/>
      <c r="V40" s="284"/>
      <c r="W40" s="284"/>
      <c r="X40" s="284"/>
    </row>
    <row r="41" spans="13:24">
      <c r="M41" s="284"/>
      <c r="N41" s="284" t="s">
        <v>778</v>
      </c>
      <c r="O41" s="284"/>
      <c r="P41" s="284"/>
      <c r="Q41" s="284"/>
      <c r="R41" s="284"/>
      <c r="S41" s="284" t="s">
        <v>561</v>
      </c>
      <c r="T41" s="284"/>
      <c r="U41" s="284"/>
      <c r="V41" s="284"/>
      <c r="W41" s="284"/>
      <c r="X41" s="284"/>
    </row>
    <row r="42" spans="13:24">
      <c r="M42" s="284"/>
      <c r="N42" s="284" t="s">
        <v>779</v>
      </c>
      <c r="O42" s="284"/>
      <c r="P42" s="284"/>
      <c r="Q42" s="284"/>
      <c r="R42" s="284"/>
      <c r="S42" s="284" t="s">
        <v>562</v>
      </c>
      <c r="T42" s="284"/>
      <c r="U42" s="284"/>
      <c r="V42" s="284"/>
      <c r="W42" s="284"/>
      <c r="X42" s="284"/>
    </row>
    <row r="43" spans="13:24">
      <c r="M43" s="284"/>
      <c r="N43" s="284" t="s">
        <v>780</v>
      </c>
      <c r="O43" s="284"/>
      <c r="P43" s="284"/>
      <c r="Q43" s="284"/>
      <c r="R43" s="284"/>
      <c r="S43" s="284" t="s">
        <v>768</v>
      </c>
      <c r="T43" s="284"/>
      <c r="U43" s="284"/>
      <c r="V43" s="284"/>
      <c r="W43" s="284"/>
      <c r="X43" s="284"/>
    </row>
    <row r="44" spans="13:24">
      <c r="M44" s="284"/>
      <c r="N44" s="284" t="s">
        <v>781</v>
      </c>
      <c r="O44" s="284"/>
      <c r="P44" s="284"/>
      <c r="Q44" s="284"/>
      <c r="R44" s="284"/>
      <c r="S44" s="284"/>
      <c r="T44" s="284"/>
      <c r="U44" s="284"/>
      <c r="V44" s="284"/>
      <c r="W44" s="284"/>
      <c r="X44" s="284"/>
    </row>
    <row r="45" spans="13:24">
      <c r="M45" s="496"/>
      <c r="N45" s="496" t="s">
        <v>718</v>
      </c>
      <c r="O45" s="496"/>
      <c r="P45" s="496"/>
      <c r="Q45" s="496"/>
      <c r="R45" s="496"/>
      <c r="S45" s="496"/>
      <c r="T45" s="496"/>
      <c r="U45" s="496"/>
      <c r="V45" s="496"/>
      <c r="W45" s="496"/>
      <c r="X45" s="496"/>
    </row>
    <row r="46" spans="13:24">
      <c r="M46" s="496"/>
      <c r="N46" s="496" t="s">
        <v>719</v>
      </c>
      <c r="O46" s="496"/>
      <c r="P46" s="496"/>
      <c r="Q46" s="496"/>
      <c r="R46" s="496"/>
      <c r="S46" s="496"/>
      <c r="T46" s="496"/>
      <c r="U46" s="496"/>
      <c r="V46" s="496"/>
      <c r="W46" s="496"/>
      <c r="X46" s="496"/>
    </row>
    <row r="47" spans="13:24">
      <c r="M47" s="496"/>
      <c r="N47" s="496" t="s">
        <v>720</v>
      </c>
      <c r="O47" s="496"/>
      <c r="P47" s="496"/>
      <c r="Q47" s="496"/>
      <c r="R47" s="496"/>
      <c r="S47" s="496"/>
      <c r="T47" s="496"/>
      <c r="U47" s="496"/>
      <c r="V47" s="496"/>
      <c r="W47" s="496"/>
      <c r="X47" s="496"/>
    </row>
    <row r="48" spans="13:24">
      <c r="M48" s="496"/>
      <c r="N48" s="496" t="s">
        <v>721</v>
      </c>
      <c r="O48" s="496"/>
      <c r="P48" s="496"/>
      <c r="Q48" s="496"/>
      <c r="R48" s="496"/>
      <c r="S48" s="496"/>
      <c r="T48" s="496"/>
      <c r="U48" s="496"/>
      <c r="V48" s="496"/>
      <c r="W48" s="496"/>
      <c r="X48" s="496"/>
    </row>
    <row r="49" spans="13:24">
      <c r="M49" s="496"/>
      <c r="N49" s="496" t="s">
        <v>722</v>
      </c>
      <c r="O49" s="496"/>
      <c r="P49" s="496"/>
      <c r="Q49" s="496"/>
      <c r="R49" s="496"/>
      <c r="S49" s="496"/>
      <c r="T49" s="496"/>
      <c r="U49" s="496"/>
      <c r="V49" s="496"/>
      <c r="W49" s="496"/>
      <c r="X49" s="496"/>
    </row>
    <row r="50" spans="13:24">
      <c r="M50" s="496"/>
      <c r="N50" s="496" t="s">
        <v>763</v>
      </c>
      <c r="O50" s="496"/>
      <c r="P50" s="496"/>
      <c r="Q50" s="496"/>
      <c r="R50" s="496"/>
      <c r="S50" s="496"/>
      <c r="T50" s="496"/>
      <c r="U50" s="496"/>
      <c r="V50" s="496"/>
      <c r="W50" s="496"/>
      <c r="X50" s="496"/>
    </row>
    <row r="91" spans="14:14">
      <c r="N91" s="28"/>
    </row>
    <row r="92" spans="14:14">
      <c r="N92" s="28"/>
    </row>
    <row r="93" spans="14:14">
      <c r="N93" s="28"/>
    </row>
    <row r="94" spans="14:14">
      <c r="N94" s="28"/>
    </row>
    <row r="95" spans="14:14">
      <c r="N95" s="28"/>
    </row>
    <row r="96" spans="14:14">
      <c r="N96" s="28"/>
    </row>
    <row r="97" spans="14:14">
      <c r="N97" s="28"/>
    </row>
    <row r="98" spans="14:14">
      <c r="N98" s="28"/>
    </row>
    <row r="100" spans="14:14" ht="12" customHeight="1"/>
    <row r="105" spans="14:14">
      <c r="N105" s="1" t="s">
        <v>765</v>
      </c>
    </row>
  </sheetData>
  <dataConsolidate/>
  <mergeCells count="9">
    <mergeCell ref="D7:D8"/>
    <mergeCell ref="G4:H4"/>
    <mergeCell ref="I4:J4"/>
    <mergeCell ref="M4:N4"/>
    <mergeCell ref="G5:H5"/>
    <mergeCell ref="I5:J5"/>
    <mergeCell ref="M5:N5"/>
    <mergeCell ref="K4:L4"/>
    <mergeCell ref="K5:L5"/>
  </mergeCells>
  <dataValidations count="6">
    <dataValidation type="list" allowBlank="1" showInputMessage="1" showErrorMessage="1" sqref="N11" xr:uid="{00000000-0002-0000-1B00-000001000000}">
      <formula1>INDIRECT($M$11)</formula1>
    </dataValidation>
    <dataValidation type="list" showDropDown="1" showInputMessage="1" showErrorMessage="1" sqref="N10" xr:uid="{00000000-0002-0000-1B00-000005000000}">
      <formula1>$N$39:$N$105</formula1>
    </dataValidation>
    <dataValidation type="list" allowBlank="1" showInputMessage="1" showErrorMessage="1" sqref="N12:N15" xr:uid="{00000000-0002-0000-1B00-000000000000}">
      <formula1>INDIRECT(M12)</formula1>
    </dataValidation>
    <dataValidation type="list" showInputMessage="1" showErrorMessage="1" sqref="E11:E15" xr:uid="{00000000-0002-0000-1B00-000002000000}">
      <formula1>$O$11:$O$11</formula1>
    </dataValidation>
    <dataValidation type="list" allowBlank="1" showInputMessage="1" showErrorMessage="1" sqref="F11:F15" xr:uid="{00000000-0002-0000-1B00-000003000000}">
      <formula1>$O$12:$O$12</formula1>
    </dataValidation>
    <dataValidation type="list" showInputMessage="1" showErrorMessage="1" sqref="M10:M15" xr:uid="{00000000-0002-0000-1B00-000004000000}">
      <formula1>AgrupacionSVS</formula1>
    </dataValidation>
  </dataValidations>
  <pageMargins left="0.70866141732283472" right="0.70866141732283472" top="0.74803149606299213" bottom="0.74803149606299213" header="0.31496062992125984" footer="0.31496062992125984"/>
  <pageSetup scale="86" orientation="landscape" r:id="rId1"/>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tabColor theme="3" tint="0.39997558519241921"/>
  </sheetPr>
  <dimension ref="A1:F19"/>
  <sheetViews>
    <sheetView showGridLines="0" workbookViewId="0">
      <selection activeCell="G17" sqref="G17"/>
    </sheetView>
  </sheetViews>
  <sheetFormatPr baseColWidth="10" defaultColWidth="11.46484375" defaultRowHeight="13.15"/>
  <cols>
    <col min="1" max="2" width="11.46484375" style="1"/>
    <col min="3" max="3" width="61.19921875" style="19" customWidth="1"/>
    <col min="4" max="5" width="13.796875" style="1" customWidth="1"/>
    <col min="6" max="16384" width="11.46484375" style="1"/>
  </cols>
  <sheetData>
    <row r="1" spans="1:5" ht="14.25">
      <c r="A1" s="33" t="s">
        <v>220</v>
      </c>
    </row>
    <row r="3" spans="1:5">
      <c r="A3" s="2" t="s">
        <v>238</v>
      </c>
    </row>
    <row r="6" spans="1:5">
      <c r="C6" s="1315"/>
      <c r="D6" s="1219" t="s">
        <v>243</v>
      </c>
      <c r="E6" s="1308" t="s">
        <v>244</v>
      </c>
    </row>
    <row r="7" spans="1:5">
      <c r="C7" s="1316"/>
      <c r="D7" s="1269">
        <f>+Datos!D8</f>
        <v>45657</v>
      </c>
      <c r="E7" s="1317">
        <f>+Datos!E8</f>
        <v>45291</v>
      </c>
    </row>
    <row r="8" spans="1:5">
      <c r="C8" s="1318"/>
      <c r="D8" s="1221" t="s">
        <v>20</v>
      </c>
      <c r="E8" s="1277" t="s">
        <v>20</v>
      </c>
    </row>
    <row r="9" spans="1:5">
      <c r="C9" s="19" t="s">
        <v>240</v>
      </c>
      <c r="D9" s="315"/>
      <c r="E9" s="315"/>
    </row>
    <row r="10" spans="1:5" ht="26.25">
      <c r="C10" s="19" t="s">
        <v>245</v>
      </c>
      <c r="D10" s="315"/>
      <c r="E10" s="315"/>
    </row>
    <row r="11" spans="1:5" ht="26.25">
      <c r="C11" s="19" t="s">
        <v>246</v>
      </c>
      <c r="D11" s="315"/>
      <c r="E11" s="315"/>
    </row>
    <row r="12" spans="1:5" ht="26.25">
      <c r="C12" s="19" t="s">
        <v>247</v>
      </c>
      <c r="D12" s="315"/>
      <c r="E12" s="315"/>
    </row>
    <row r="13" spans="1:5" ht="26.25">
      <c r="C13" s="19" t="s">
        <v>248</v>
      </c>
      <c r="D13" s="315"/>
      <c r="E13" s="315"/>
    </row>
    <row r="14" spans="1:5" ht="26.25">
      <c r="C14" s="19" t="s">
        <v>249</v>
      </c>
      <c r="D14" s="315"/>
      <c r="E14" s="315"/>
    </row>
    <row r="15" spans="1:5" ht="26.25">
      <c r="C15" s="19" t="s">
        <v>250</v>
      </c>
      <c r="D15" s="315"/>
      <c r="E15" s="315"/>
    </row>
    <row r="16" spans="1:5">
      <c r="C16" s="19" t="s">
        <v>241</v>
      </c>
      <c r="D16" s="315"/>
      <c r="E16" s="315"/>
    </row>
    <row r="17" spans="3:6">
      <c r="C17" s="1319" t="s">
        <v>242</v>
      </c>
      <c r="D17" s="1259">
        <f>+SUM(D9:D16)</f>
        <v>0</v>
      </c>
      <c r="E17" s="1259">
        <f>+SUM(E9:E16)</f>
        <v>0</v>
      </c>
    </row>
    <row r="19" spans="3:6">
      <c r="D19" s="2"/>
      <c r="E19" s="2"/>
      <c r="F19" s="2"/>
    </row>
  </sheetData>
  <pageMargins left="0.7" right="0.7" top="0.75" bottom="0.75" header="0.3" footer="0.3"/>
  <pageSetup paperSize="9" scale="78"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2"/>
  <dimension ref="A1:J34"/>
  <sheetViews>
    <sheetView showGridLines="0" topLeftCell="A4" workbookViewId="0">
      <selection activeCell="G17" sqref="G17"/>
    </sheetView>
  </sheetViews>
  <sheetFormatPr baseColWidth="10" defaultRowHeight="14.25"/>
  <cols>
    <col min="1" max="1" width="11.46484375" style="1"/>
    <col min="2" max="2" width="27.796875" style="1" customWidth="1"/>
    <col min="3" max="5" width="16" style="1" customWidth="1"/>
    <col min="6" max="6" width="11.46484375" style="1"/>
    <col min="7" max="7" width="40.19921875" customWidth="1"/>
    <col min="8" max="8" width="15" bestFit="1" customWidth="1"/>
    <col min="9" max="9" width="11.46484375" bestFit="1" customWidth="1"/>
  </cols>
  <sheetData>
    <row r="1" spans="1:10">
      <c r="A1" s="33" t="s">
        <v>218</v>
      </c>
      <c r="F1" s="56" t="s">
        <v>417</v>
      </c>
    </row>
    <row r="2" spans="1:10">
      <c r="A2" s="33"/>
      <c r="F2" s="56"/>
    </row>
    <row r="3" spans="1:10">
      <c r="B3" s="1320"/>
      <c r="C3" s="1297" t="s">
        <v>141</v>
      </c>
      <c r="D3" s="1298" t="s">
        <v>199</v>
      </c>
      <c r="E3" s="1298" t="s">
        <v>199</v>
      </c>
    </row>
    <row r="4" spans="1:10" ht="14.65" thickBot="1">
      <c r="B4" s="1321" t="s">
        <v>219</v>
      </c>
      <c r="C4" s="1300">
        <f>+Datos!D6</f>
        <v>45657</v>
      </c>
      <c r="D4" s="1301">
        <f>+Datos!E6</f>
        <v>45291</v>
      </c>
      <c r="E4" s="1301">
        <f>+Datos!F6</f>
        <v>44927</v>
      </c>
    </row>
    <row r="5" spans="1:10" ht="14.65" thickBot="1">
      <c r="B5" s="1322"/>
      <c r="C5" s="1221" t="s">
        <v>20</v>
      </c>
      <c r="D5" s="1277" t="s">
        <v>20</v>
      </c>
      <c r="E5" s="1277" t="s">
        <v>20</v>
      </c>
      <c r="G5" s="583"/>
      <c r="H5" s="1441">
        <f>+C4</f>
        <v>45657</v>
      </c>
      <c r="I5" s="1441">
        <f>+D4</f>
        <v>45291</v>
      </c>
      <c r="J5" s="1441">
        <f>+E4</f>
        <v>44927</v>
      </c>
    </row>
    <row r="6" spans="1:10">
      <c r="B6" s="102"/>
      <c r="C6" s="129"/>
      <c r="D6" s="129"/>
      <c r="E6" s="129"/>
      <c r="G6" s="1443"/>
      <c r="H6" s="608"/>
      <c r="I6" s="608"/>
      <c r="J6" s="608"/>
    </row>
    <row r="7" spans="1:10">
      <c r="B7" s="102" t="s">
        <v>1290</v>
      </c>
      <c r="C7" s="609"/>
      <c r="D7" s="609"/>
      <c r="E7" s="609"/>
      <c r="G7" s="1022"/>
      <c r="H7" s="608"/>
      <c r="I7" s="608"/>
      <c r="J7" s="608"/>
    </row>
    <row r="8" spans="1:10">
      <c r="B8" s="1" t="s">
        <v>1291</v>
      </c>
      <c r="C8" s="609"/>
      <c r="D8" s="609"/>
      <c r="E8" s="609"/>
      <c r="G8" s="1022"/>
      <c r="H8" s="625"/>
      <c r="I8" s="625"/>
      <c r="J8" s="625"/>
    </row>
    <row r="9" spans="1:10">
      <c r="B9" s="1" t="s">
        <v>1292</v>
      </c>
      <c r="C9" s="609"/>
      <c r="D9" s="609"/>
      <c r="E9" s="609"/>
      <c r="G9" s="1022"/>
      <c r="H9" s="625"/>
      <c r="I9" s="625"/>
      <c r="J9" s="625"/>
    </row>
    <row r="10" spans="1:10">
      <c r="B10" s="1" t="s">
        <v>852</v>
      </c>
      <c r="C10" s="609"/>
      <c r="D10" s="609"/>
      <c r="E10" s="609"/>
      <c r="G10" s="1022"/>
      <c r="H10" s="625"/>
      <c r="I10" s="625"/>
      <c r="J10" s="625"/>
    </row>
    <row r="11" spans="1:10">
      <c r="B11" s="1" t="s">
        <v>848</v>
      </c>
      <c r="C11" s="609"/>
      <c r="D11" s="609"/>
      <c r="E11" s="609"/>
      <c r="G11" s="1022"/>
      <c r="H11" s="625"/>
      <c r="I11" s="625"/>
      <c r="J11" s="625"/>
    </row>
    <row r="12" spans="1:10">
      <c r="B12" s="1" t="s">
        <v>849</v>
      </c>
      <c r="C12" s="609"/>
      <c r="D12" s="609"/>
      <c r="E12" s="609"/>
      <c r="G12" s="1022"/>
      <c r="H12" s="625"/>
      <c r="I12" s="625"/>
      <c r="J12" s="625"/>
    </row>
    <row r="13" spans="1:10">
      <c r="B13" s="1" t="s">
        <v>850</v>
      </c>
      <c r="C13" s="609"/>
      <c r="D13" s="609"/>
      <c r="E13" s="609"/>
      <c r="G13" s="1022"/>
      <c r="H13" s="625"/>
      <c r="I13" s="625"/>
      <c r="J13" s="625"/>
    </row>
    <row r="14" spans="1:10">
      <c r="B14" s="1" t="s">
        <v>851</v>
      </c>
      <c r="C14" s="609"/>
      <c r="D14" s="609"/>
      <c r="E14" s="609"/>
      <c r="G14" s="1022"/>
      <c r="H14" s="625"/>
      <c r="I14" s="1022"/>
      <c r="J14" s="1022"/>
    </row>
    <row r="15" spans="1:10">
      <c r="B15" s="1" t="s">
        <v>853</v>
      </c>
      <c r="C15" s="609"/>
      <c r="D15" s="609"/>
      <c r="E15" s="609"/>
      <c r="G15" s="1022"/>
      <c r="H15" s="625"/>
      <c r="I15" s="625"/>
      <c r="J15" s="625"/>
    </row>
    <row r="16" spans="1:10">
      <c r="B16" s="1242" t="s">
        <v>189</v>
      </c>
      <c r="C16" s="1259">
        <f>+SUM(C7:C15)</f>
        <v>0</v>
      </c>
      <c r="D16" s="1259">
        <f>+SUM(D7:D15)</f>
        <v>0</v>
      </c>
      <c r="E16" s="1259">
        <f>+SUM(E7:E15)</f>
        <v>0</v>
      </c>
      <c r="G16" s="1022"/>
      <c r="H16" s="625"/>
      <c r="I16" s="625"/>
      <c r="J16" s="1022"/>
    </row>
    <row r="17" spans="2:10">
      <c r="C17" s="152"/>
      <c r="D17" s="152"/>
      <c r="E17" s="152"/>
      <c r="G17" s="1022"/>
      <c r="H17" s="625"/>
      <c r="I17" s="625"/>
      <c r="J17" s="625"/>
    </row>
    <row r="18" spans="2:10">
      <c r="B18" s="3" t="s">
        <v>201</v>
      </c>
      <c r="C18" s="317">
        <f>+C16-'Est Situacion'!G14</f>
        <v>0</v>
      </c>
      <c r="D18" s="317">
        <f>+D16-'Est Situacion'!H14</f>
        <v>0</v>
      </c>
      <c r="E18" s="317">
        <f>+E16-'Est Situacion'!I14</f>
        <v>0</v>
      </c>
      <c r="G18" s="1022"/>
      <c r="H18" s="625"/>
      <c r="I18" s="625"/>
      <c r="J18" s="625"/>
    </row>
    <row r="19" spans="2:10" ht="14.65" thickBot="1">
      <c r="G19" s="1023"/>
      <c r="H19" s="625"/>
      <c r="I19" s="1442"/>
      <c r="J19" s="1023"/>
    </row>
    <row r="20" spans="2:10" ht="14.65" thickBot="1">
      <c r="G20" s="579"/>
      <c r="H20" s="580">
        <f>SUM(H8:H19)</f>
        <v>0</v>
      </c>
      <c r="I20" s="580">
        <f>SUM(I8:I19)</f>
        <v>0</v>
      </c>
      <c r="J20" s="607">
        <f>SUM(J8:J19)</f>
        <v>0</v>
      </c>
    </row>
    <row r="22" spans="2:10">
      <c r="B22" s="1320"/>
      <c r="C22" s="1271" t="s">
        <v>141</v>
      </c>
      <c r="D22" s="1298" t="s">
        <v>141</v>
      </c>
      <c r="E22"/>
      <c r="F22"/>
    </row>
    <row r="23" spans="2:10">
      <c r="B23" s="1323"/>
      <c r="C23" s="1324">
        <f>+Datos!D6</f>
        <v>45657</v>
      </c>
      <c r="D23" s="1301">
        <f>+Datos!E8</f>
        <v>45291</v>
      </c>
      <c r="E23"/>
      <c r="F23"/>
    </row>
    <row r="24" spans="2:10">
      <c r="B24" s="1322"/>
      <c r="C24" s="1270" t="s">
        <v>20</v>
      </c>
      <c r="D24" s="1277" t="s">
        <v>20</v>
      </c>
      <c r="E24"/>
      <c r="F24"/>
    </row>
    <row r="25" spans="2:10">
      <c r="E25"/>
      <c r="F25"/>
    </row>
    <row r="26" spans="2:10">
      <c r="B26" s="1" t="s">
        <v>884</v>
      </c>
      <c r="C26" s="628"/>
      <c r="D26" s="628"/>
      <c r="E26"/>
      <c r="F26"/>
      <c r="H26" s="626"/>
      <c r="I26" s="626"/>
    </row>
    <row r="27" spans="2:10">
      <c r="B27" s="1" t="s">
        <v>891</v>
      </c>
      <c r="C27" s="628"/>
      <c r="D27" s="628"/>
      <c r="E27"/>
      <c r="F27"/>
      <c r="H27" s="626"/>
      <c r="I27" s="626"/>
    </row>
    <row r="28" spans="2:10">
      <c r="B28" s="1" t="s">
        <v>892</v>
      </c>
      <c r="C28" s="628"/>
      <c r="D28" s="628"/>
      <c r="E28"/>
      <c r="F28"/>
      <c r="H28" s="626"/>
      <c r="I28" s="626"/>
    </row>
    <row r="29" spans="2:10">
      <c r="C29" s="152"/>
      <c r="D29" s="152"/>
      <c r="E29"/>
      <c r="F29"/>
      <c r="H29" s="626"/>
      <c r="I29" s="626"/>
    </row>
    <row r="30" spans="2:10">
      <c r="B30" s="1242" t="s">
        <v>189</v>
      </c>
      <c r="C30" s="1259">
        <f>+SUM(C26:C29)</f>
        <v>0</v>
      </c>
      <c r="D30" s="1259">
        <f>+SUM(D26:D29)</f>
        <v>0</v>
      </c>
      <c r="E30"/>
      <c r="F30"/>
      <c r="H30" s="626"/>
      <c r="I30" s="626"/>
    </row>
    <row r="31" spans="2:10">
      <c r="C31" s="152"/>
      <c r="D31" s="152"/>
      <c r="E31"/>
      <c r="F31"/>
      <c r="H31" s="626"/>
      <c r="I31" s="626"/>
    </row>
    <row r="32" spans="2:10">
      <c r="B32" s="3" t="s">
        <v>201</v>
      </c>
      <c r="C32" s="317">
        <f>+C30-'E°R° Natural SVS '!D10</f>
        <v>0</v>
      </c>
      <c r="D32" s="317">
        <f>+D30-'E°R° Natural SVS '!E10</f>
        <v>0</v>
      </c>
      <c r="E32"/>
      <c r="F32"/>
      <c r="G32" s="33"/>
      <c r="H32" s="632">
        <f>SUM(H26:H31)</f>
        <v>0</v>
      </c>
      <c r="I32" s="632">
        <f>SUM(I26:I31)</f>
        <v>0</v>
      </c>
    </row>
    <row r="33" spans="5:6">
      <c r="E33"/>
      <c r="F33"/>
    </row>
    <row r="34" spans="5:6">
      <c r="E34"/>
      <c r="F34"/>
    </row>
  </sheetData>
  <hyperlinks>
    <hyperlink ref="F1" location="'Est Situacion'!A1" display="Volver" xr:uid="{00000000-0004-0000-1D00-000000000000}"/>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tabColor theme="3" tint="0.39997558519241921"/>
  </sheetPr>
  <dimension ref="A1:L117"/>
  <sheetViews>
    <sheetView showGridLines="0" workbookViewId="0">
      <selection activeCell="G17" sqref="G17"/>
    </sheetView>
  </sheetViews>
  <sheetFormatPr baseColWidth="10" defaultColWidth="11.46484375" defaultRowHeight="13.15"/>
  <cols>
    <col min="1" max="1" width="11.46484375" style="1"/>
    <col min="2" max="2" width="47.796875" style="1" customWidth="1"/>
    <col min="3" max="5" width="13.19921875" style="1" customWidth="1"/>
    <col min="6" max="6" width="11.796875" style="1" customWidth="1"/>
    <col min="7" max="8" width="13.19921875" style="1" customWidth="1"/>
    <col min="9" max="9" width="36.19921875" style="1" bestFit="1" customWidth="1"/>
    <col min="10" max="12" width="12.19921875" style="1" customWidth="1"/>
    <col min="13" max="16384" width="11.46484375" style="1"/>
  </cols>
  <sheetData>
    <row r="1" spans="1:12" ht="14.25">
      <c r="A1" s="33" t="s">
        <v>281</v>
      </c>
      <c r="D1" s="56" t="s">
        <v>417</v>
      </c>
      <c r="E1" s="56"/>
    </row>
    <row r="4" spans="1:12">
      <c r="A4" s="1" t="s">
        <v>282</v>
      </c>
    </row>
    <row r="5" spans="1:12">
      <c r="B5" s="2" t="s">
        <v>287</v>
      </c>
    </row>
    <row r="6" spans="1:12" ht="26.25">
      <c r="B6" s="1295"/>
      <c r="C6" s="1297" t="s">
        <v>141</v>
      </c>
      <c r="D6" s="1298" t="s">
        <v>199</v>
      </c>
      <c r="E6" s="1298" t="s">
        <v>199</v>
      </c>
    </row>
    <row r="7" spans="1:12" ht="13.5" thickBot="1">
      <c r="B7" s="1325"/>
      <c r="C7" s="1300">
        <f>+Datos!D6</f>
        <v>45657</v>
      </c>
      <c r="D7" s="1301">
        <f>+Datos!E6</f>
        <v>45291</v>
      </c>
      <c r="E7" s="1301">
        <f>+Datos!F6</f>
        <v>44927</v>
      </c>
    </row>
    <row r="8" spans="1:12" ht="13.5" thickBot="1">
      <c r="B8" s="1276"/>
      <c r="C8" s="1221" t="s">
        <v>20</v>
      </c>
      <c r="D8" s="1277" t="s">
        <v>20</v>
      </c>
      <c r="E8" s="1277" t="s">
        <v>20</v>
      </c>
      <c r="I8" s="589"/>
      <c r="J8" s="594">
        <f>+C7</f>
        <v>45657</v>
      </c>
      <c r="K8" s="594">
        <f>+D7</f>
        <v>45291</v>
      </c>
      <c r="L8" s="595">
        <f>+E7</f>
        <v>44927</v>
      </c>
    </row>
    <row r="9" spans="1:12">
      <c r="B9" s="1" t="s">
        <v>674</v>
      </c>
      <c r="C9" s="315"/>
      <c r="D9" s="315"/>
      <c r="E9" s="315"/>
      <c r="I9" s="587"/>
      <c r="J9" s="573"/>
      <c r="K9" s="573"/>
      <c r="L9" s="588"/>
    </row>
    <row r="10" spans="1:12">
      <c r="B10" s="1" t="s">
        <v>675</v>
      </c>
      <c r="C10" s="315"/>
      <c r="D10" s="315"/>
      <c r="E10" s="315"/>
      <c r="I10" s="587"/>
      <c r="J10" s="573"/>
      <c r="K10" s="573"/>
      <c r="L10" s="588"/>
    </row>
    <row r="11" spans="1:12" ht="13.5" thickBot="1">
      <c r="B11" s="1" t="s">
        <v>286</v>
      </c>
      <c r="C11" s="315"/>
      <c r="D11" s="315"/>
      <c r="E11" s="315"/>
      <c r="I11" s="587"/>
      <c r="J11" s="573"/>
      <c r="K11" s="573"/>
      <c r="L11" s="588"/>
    </row>
    <row r="12" spans="1:12" ht="13.5" thickBot="1">
      <c r="B12" s="1" t="s">
        <v>283</v>
      </c>
      <c r="C12" s="315"/>
      <c r="D12" s="315"/>
      <c r="E12" s="315"/>
      <c r="I12" s="586"/>
      <c r="J12" s="574">
        <f>SUM(J9:J11)</f>
        <v>0</v>
      </c>
      <c r="K12" s="574">
        <f>SUM(K9:K11)</f>
        <v>0</v>
      </c>
      <c r="L12" s="572">
        <f>SUM(L9:L11)</f>
        <v>0</v>
      </c>
    </row>
    <row r="13" spans="1:12">
      <c r="B13" s="1" t="s">
        <v>284</v>
      </c>
      <c r="C13" s="315"/>
      <c r="D13" s="315"/>
      <c r="E13" s="315"/>
    </row>
    <row r="14" spans="1:12">
      <c r="B14" s="188" t="s">
        <v>285</v>
      </c>
      <c r="C14" s="315"/>
      <c r="D14" s="315"/>
      <c r="E14" s="315"/>
    </row>
    <row r="15" spans="1:12">
      <c r="B15" s="188" t="s">
        <v>854</v>
      </c>
      <c r="C15" s="315"/>
      <c r="D15" s="315"/>
      <c r="E15" s="315"/>
    </row>
    <row r="16" spans="1:12">
      <c r="B16" s="1243" t="s">
        <v>189</v>
      </c>
      <c r="C16" s="1259">
        <f>+SUM(C9:C15)</f>
        <v>0</v>
      </c>
      <c r="D16" s="1259">
        <f>+SUM(D9:D15)</f>
        <v>0</v>
      </c>
      <c r="E16" s="1259">
        <f>+SUM(E9:E15)</f>
        <v>0</v>
      </c>
    </row>
    <row r="17" spans="2:12">
      <c r="B17" s="10"/>
      <c r="C17" s="316"/>
      <c r="D17" s="316"/>
      <c r="E17" s="316"/>
    </row>
    <row r="18" spans="2:12">
      <c r="B18" s="47" t="s">
        <v>289</v>
      </c>
      <c r="C18" s="317">
        <f>+C16-'Est Situacion'!G16</f>
        <v>0</v>
      </c>
      <c r="D18" s="317">
        <f>+D16-'Est Situacion'!H16</f>
        <v>0</v>
      </c>
      <c r="E18" s="317">
        <f>+E16-'Est Situacion'!I16</f>
        <v>0</v>
      </c>
    </row>
    <row r="20" spans="2:12">
      <c r="B20" s="2" t="s">
        <v>288</v>
      </c>
    </row>
    <row r="21" spans="2:12" ht="26.25">
      <c r="B21" s="1295"/>
      <c r="C21" s="1297" t="s">
        <v>141</v>
      </c>
      <c r="D21" s="1298" t="s">
        <v>199</v>
      </c>
      <c r="E21" s="1298" t="s">
        <v>199</v>
      </c>
    </row>
    <row r="22" spans="2:12">
      <c r="B22" s="1325"/>
      <c r="C22" s="1300">
        <f>+Datos!D6</f>
        <v>45657</v>
      </c>
      <c r="D22" s="1301">
        <f>+Datos!E6</f>
        <v>45291</v>
      </c>
      <c r="E22" s="1301">
        <f>+Datos!F6</f>
        <v>44927</v>
      </c>
    </row>
    <row r="23" spans="2:12" ht="13.5" thickBot="1">
      <c r="B23" s="1276"/>
      <c r="C23" s="1221" t="s">
        <v>20</v>
      </c>
      <c r="D23" s="1277" t="s">
        <v>20</v>
      </c>
      <c r="E23" s="1277" t="s">
        <v>20</v>
      </c>
    </row>
    <row r="24" spans="2:12" ht="13.5" thickBot="1">
      <c r="C24" s="315"/>
      <c r="D24" s="315"/>
      <c r="E24" s="315"/>
      <c r="I24" s="589"/>
      <c r="J24" s="594">
        <f>+J8</f>
        <v>45657</v>
      </c>
      <c r="K24" s="594">
        <f t="shared" ref="K24:L24" si="0">+K8</f>
        <v>45291</v>
      </c>
      <c r="L24" s="594">
        <f t="shared" si="0"/>
        <v>44927</v>
      </c>
    </row>
    <row r="25" spans="2:12">
      <c r="B25" s="1" t="s">
        <v>906</v>
      </c>
      <c r="C25" s="315"/>
      <c r="D25" s="315"/>
      <c r="E25" s="315"/>
      <c r="I25" s="587"/>
      <c r="J25" s="573"/>
      <c r="K25" s="573"/>
      <c r="L25" s="588"/>
    </row>
    <row r="26" spans="2:12" ht="15.75" customHeight="1">
      <c r="B26" s="1" t="s">
        <v>907</v>
      </c>
      <c r="C26" s="315"/>
      <c r="D26" s="315"/>
      <c r="E26" s="315"/>
      <c r="I26" s="587"/>
      <c r="J26" s="573"/>
      <c r="K26" s="573"/>
      <c r="L26" s="588"/>
    </row>
    <row r="27" spans="2:12" ht="13.5" thickBot="1">
      <c r="B27" s="1" t="s">
        <v>910</v>
      </c>
      <c r="C27" s="315"/>
      <c r="D27" s="315"/>
      <c r="E27" s="315"/>
      <c r="I27" s="587"/>
      <c r="J27" s="573"/>
      <c r="K27" s="573"/>
      <c r="L27" s="588"/>
    </row>
    <row r="28" spans="2:12" ht="13.5" thickBot="1">
      <c r="B28" s="188" t="s">
        <v>855</v>
      </c>
      <c r="C28" s="315"/>
      <c r="D28" s="315"/>
      <c r="E28" s="315"/>
      <c r="I28" s="592"/>
      <c r="J28" s="574">
        <f>SUM(J25:J27)</f>
        <v>0</v>
      </c>
      <c r="K28" s="574">
        <f>SUM(K25:K27)</f>
        <v>0</v>
      </c>
      <c r="L28" s="572">
        <f>SUM(L25:L27)</f>
        <v>0</v>
      </c>
    </row>
    <row r="29" spans="2:12">
      <c r="B29" s="188" t="s">
        <v>485</v>
      </c>
      <c r="C29" s="315"/>
      <c r="D29" s="315"/>
      <c r="E29" s="315"/>
    </row>
    <row r="30" spans="2:12">
      <c r="B30" s="188"/>
      <c r="C30" s="315"/>
      <c r="D30" s="315"/>
      <c r="E30" s="315"/>
    </row>
    <row r="31" spans="2:12">
      <c r="B31" s="1243" t="s">
        <v>189</v>
      </c>
      <c r="C31" s="1259">
        <f>+SUM(C24:C30)</f>
        <v>0</v>
      </c>
      <c r="D31" s="1259">
        <f>+SUM(D24:D30)</f>
        <v>0</v>
      </c>
      <c r="E31" s="1259">
        <f>+SUM(E24:E30)</f>
        <v>0</v>
      </c>
    </row>
    <row r="32" spans="2:12">
      <c r="C32" s="152"/>
      <c r="D32" s="152"/>
      <c r="E32" s="152"/>
    </row>
    <row r="33" spans="1:6">
      <c r="B33" s="47" t="s">
        <v>289</v>
      </c>
      <c r="C33" s="317">
        <f>+C31-'Est Situacion'!G50</f>
        <v>0</v>
      </c>
      <c r="D33" s="317">
        <f>+D31-'Est Situacion'!H50</f>
        <v>0</v>
      </c>
      <c r="E33" s="317">
        <f>+E31-'Est Situacion'!I50</f>
        <v>0</v>
      </c>
    </row>
    <row r="36" spans="1:6" ht="12" customHeight="1">
      <c r="A36" s="1" t="s">
        <v>290</v>
      </c>
    </row>
    <row r="38" spans="1:6" ht="26.25">
      <c r="B38" s="1326" t="s">
        <v>183</v>
      </c>
      <c r="C38" s="1297" t="s">
        <v>141</v>
      </c>
      <c r="D38" s="1298" t="s">
        <v>199</v>
      </c>
      <c r="E38" s="1298" t="s">
        <v>199</v>
      </c>
      <c r="F38" s="2"/>
    </row>
    <row r="39" spans="1:6">
      <c r="B39" s="1325"/>
      <c r="C39" s="1300">
        <f>+Datos!D6</f>
        <v>45657</v>
      </c>
      <c r="D39" s="1301">
        <f>+Datos!E6</f>
        <v>45291</v>
      </c>
      <c r="E39" s="1301">
        <f>+Datos!F6</f>
        <v>44927</v>
      </c>
    </row>
    <row r="40" spans="1:6">
      <c r="B40" s="1276"/>
      <c r="C40" s="1221" t="s">
        <v>20</v>
      </c>
      <c r="D40" s="1277" t="s">
        <v>20</v>
      </c>
      <c r="E40" s="1277" t="s">
        <v>20</v>
      </c>
    </row>
    <row r="41" spans="1:6">
      <c r="B41" s="188"/>
      <c r="C41" s="315"/>
      <c r="D41" s="315"/>
      <c r="E41" s="315"/>
    </row>
    <row r="42" spans="1:6">
      <c r="B42" s="188"/>
      <c r="C42" s="315"/>
      <c r="D42" s="315"/>
      <c r="E42" s="315"/>
    </row>
    <row r="43" spans="1:6">
      <c r="B43" s="1242" t="s">
        <v>291</v>
      </c>
      <c r="C43" s="1259">
        <f>+SUM(C41:C42)</f>
        <v>0</v>
      </c>
      <c r="D43" s="1259">
        <f t="shared" ref="D43:E43" si="1">+SUM(D41:D42)</f>
        <v>0</v>
      </c>
      <c r="E43" s="1259">
        <f t="shared" si="1"/>
        <v>0</v>
      </c>
    </row>
    <row r="44" spans="1:6">
      <c r="C44" s="152"/>
      <c r="D44" s="152"/>
      <c r="E44" s="152"/>
    </row>
    <row r="45" spans="1:6">
      <c r="B45" s="47" t="s">
        <v>289</v>
      </c>
      <c r="C45" s="317"/>
      <c r="D45" s="317"/>
      <c r="E45" s="317"/>
    </row>
    <row r="48" spans="1:6">
      <c r="A48" s="1" t="s">
        <v>292</v>
      </c>
    </row>
    <row r="49" spans="2:8" ht="13.5" thickBot="1"/>
    <row r="50" spans="2:8">
      <c r="B50" s="2346" t="s">
        <v>183</v>
      </c>
      <c r="C50" s="2349" t="s">
        <v>293</v>
      </c>
      <c r="D50" s="2340"/>
      <c r="E50" s="2349" t="s">
        <v>199</v>
      </c>
      <c r="F50" s="2340"/>
      <c r="G50" s="2339" t="s">
        <v>199</v>
      </c>
      <c r="H50" s="2340"/>
    </row>
    <row r="51" spans="2:8" ht="13.5" thickBot="1">
      <c r="B51" s="2347"/>
      <c r="C51" s="2350">
        <f>+Datos!D6</f>
        <v>45657</v>
      </c>
      <c r="D51" s="2342"/>
      <c r="E51" s="2350">
        <f>+Datos!E6</f>
        <v>45291</v>
      </c>
      <c r="F51" s="2342"/>
      <c r="G51" s="2341">
        <f>+Datos!F6</f>
        <v>44927</v>
      </c>
      <c r="H51" s="2342"/>
    </row>
    <row r="52" spans="2:8">
      <c r="B52" s="2347"/>
      <c r="C52" s="1327" t="s">
        <v>294</v>
      </c>
      <c r="D52" s="1328" t="s">
        <v>295</v>
      </c>
      <c r="E52" s="1327" t="s">
        <v>294</v>
      </c>
      <c r="F52" s="1328" t="s">
        <v>295</v>
      </c>
      <c r="G52" s="1327" t="s">
        <v>294</v>
      </c>
      <c r="H52" s="1328" t="s">
        <v>295</v>
      </c>
    </row>
    <row r="53" spans="2:8" ht="13.5" thickBot="1">
      <c r="B53" s="2348"/>
      <c r="C53" s="1329" t="s">
        <v>20</v>
      </c>
      <c r="D53" s="1330" t="s">
        <v>20</v>
      </c>
      <c r="E53" s="1329" t="s">
        <v>20</v>
      </c>
      <c r="F53" s="1330" t="s">
        <v>20</v>
      </c>
      <c r="G53" s="1329" t="s">
        <v>20</v>
      </c>
      <c r="H53" s="1330" t="s">
        <v>20</v>
      </c>
    </row>
    <row r="54" spans="2:8">
      <c r="B54" s="611" t="s">
        <v>689</v>
      </c>
      <c r="C54" s="614"/>
      <c r="D54" s="614"/>
      <c r="E54" s="615"/>
      <c r="F54" s="615"/>
      <c r="G54" s="615"/>
      <c r="H54" s="613"/>
    </row>
    <row r="55" spans="2:8">
      <c r="B55" s="611" t="s">
        <v>859</v>
      </c>
      <c r="C55" s="614"/>
      <c r="D55" s="614"/>
      <c r="E55" s="615"/>
      <c r="F55" s="615"/>
      <c r="G55" s="615"/>
      <c r="H55" s="613"/>
    </row>
    <row r="56" spans="2:8">
      <c r="B56" s="611" t="s">
        <v>17</v>
      </c>
      <c r="C56" s="614"/>
      <c r="D56" s="614"/>
      <c r="E56" s="615"/>
      <c r="F56" s="615"/>
      <c r="G56" s="615"/>
      <c r="H56" s="613"/>
    </row>
    <row r="57" spans="2:8">
      <c r="B57" s="611" t="s">
        <v>860</v>
      </c>
      <c r="C57" s="614"/>
      <c r="D57" s="614"/>
      <c r="E57" s="615"/>
      <c r="F57" s="615"/>
      <c r="G57" s="615"/>
      <c r="H57" s="613"/>
    </row>
    <row r="58" spans="2:8">
      <c r="B58" s="611" t="s">
        <v>861</v>
      </c>
      <c r="C58" s="614"/>
      <c r="D58" s="614"/>
      <c r="E58" s="615"/>
      <c r="F58" s="615"/>
      <c r="G58" s="615"/>
      <c r="H58" s="613"/>
    </row>
    <row r="59" spans="2:8">
      <c r="B59" s="611" t="s">
        <v>862</v>
      </c>
      <c r="C59" s="614"/>
      <c r="D59" s="612"/>
      <c r="E59" s="615"/>
      <c r="F59" s="615"/>
      <c r="G59" s="615"/>
      <c r="H59" s="613"/>
    </row>
    <row r="60" spans="2:8">
      <c r="B60" s="611" t="s">
        <v>863</v>
      </c>
      <c r="C60" s="614"/>
      <c r="D60" s="612"/>
      <c r="E60" s="615"/>
      <c r="F60" s="615"/>
      <c r="G60" s="615"/>
      <c r="H60" s="613"/>
    </row>
    <row r="61" spans="2:8">
      <c r="B61" s="611" t="s">
        <v>864</v>
      </c>
      <c r="C61" s="614"/>
      <c r="D61" s="612"/>
      <c r="E61" s="615"/>
      <c r="F61" s="615"/>
      <c r="G61" s="615"/>
      <c r="H61" s="613"/>
    </row>
    <row r="62" spans="2:8">
      <c r="B62" s="611"/>
      <c r="C62" s="614"/>
      <c r="D62" s="612"/>
      <c r="E62" s="614"/>
      <c r="F62" s="612"/>
      <c r="G62" s="615"/>
      <c r="H62" s="613"/>
    </row>
    <row r="63" spans="2:8" ht="13.5" thickBot="1">
      <c r="B63" s="611"/>
      <c r="C63" s="614"/>
      <c r="D63" s="612"/>
      <c r="E63" s="614"/>
      <c r="F63" s="612"/>
      <c r="G63" s="615"/>
      <c r="H63" s="613"/>
    </row>
    <row r="64" spans="2:8" ht="13.5" thickBot="1">
      <c r="B64" s="1331" t="s">
        <v>189</v>
      </c>
      <c r="C64" s="1332">
        <f t="shared" ref="C64:F64" si="2">+SUM(C54:C63)</f>
        <v>0</v>
      </c>
      <c r="D64" s="1333">
        <f t="shared" si="2"/>
        <v>0</v>
      </c>
      <c r="E64" s="1332">
        <f t="shared" ref="E64:H64" si="3">+SUM(E54:E63)</f>
        <v>0</v>
      </c>
      <c r="F64" s="1333">
        <f t="shared" si="2"/>
        <v>0</v>
      </c>
      <c r="G64" s="1332">
        <f t="shared" si="3"/>
        <v>0</v>
      </c>
      <c r="H64" s="1333">
        <f t="shared" si="3"/>
        <v>0</v>
      </c>
    </row>
    <row r="65" spans="1:8">
      <c r="C65" s="152"/>
      <c r="D65" s="152"/>
      <c r="E65" s="152"/>
      <c r="F65" s="152"/>
      <c r="G65" s="152"/>
      <c r="H65" s="152"/>
    </row>
    <row r="66" spans="1:8">
      <c r="B66" s="47" t="s">
        <v>289</v>
      </c>
      <c r="C66" s="317">
        <f>+C64-'Est Situacion'!G36</f>
        <v>0</v>
      </c>
      <c r="D66" s="317">
        <f>+D64-'Est Situacion'!G66</f>
        <v>0</v>
      </c>
      <c r="E66" s="317">
        <f>+E64-'Est Situacion'!H36</f>
        <v>0</v>
      </c>
      <c r="F66" s="317">
        <f>+F64-'Est Situacion'!H66</f>
        <v>0</v>
      </c>
      <c r="G66" s="317">
        <f>+G64-'Est Situacion'!I36</f>
        <v>0</v>
      </c>
      <c r="H66" s="317">
        <f>+H64-'Est Situacion'!I66</f>
        <v>0</v>
      </c>
    </row>
    <row r="68" spans="1:8">
      <c r="C68" s="152"/>
      <c r="E68" s="152"/>
      <c r="G68" s="152"/>
    </row>
    <row r="69" spans="1:8">
      <c r="A69" s="1" t="s">
        <v>296</v>
      </c>
    </row>
    <row r="70" spans="1:8">
      <c r="B70" s="1295"/>
      <c r="C70" s="1219" t="s">
        <v>243</v>
      </c>
      <c r="D70" s="1308" t="s">
        <v>244</v>
      </c>
      <c r="F70" s="152"/>
    </row>
    <row r="71" spans="1:8">
      <c r="B71" s="1325"/>
      <c r="C71" s="1269">
        <f>+Datos!D8</f>
        <v>45657</v>
      </c>
      <c r="D71" s="1317">
        <f>+Datos!E8</f>
        <v>45291</v>
      </c>
      <c r="E71" s="152"/>
    </row>
    <row r="72" spans="1:8">
      <c r="B72" s="1276"/>
      <c r="C72" s="1221" t="s">
        <v>20</v>
      </c>
      <c r="D72" s="1277" t="s">
        <v>20</v>
      </c>
    </row>
    <row r="73" spans="1:8">
      <c r="B73" s="20" t="s">
        <v>297</v>
      </c>
      <c r="C73" s="188"/>
      <c r="D73" s="188"/>
    </row>
    <row r="74" spans="1:8">
      <c r="B74" s="19" t="s">
        <v>298</v>
      </c>
      <c r="C74" s="315"/>
      <c r="D74" s="315"/>
    </row>
    <row r="75" spans="1:8">
      <c r="B75" s="19" t="s">
        <v>487</v>
      </c>
      <c r="C75" s="315"/>
      <c r="D75" s="315"/>
    </row>
    <row r="76" spans="1:8">
      <c r="B76" s="19" t="s">
        <v>488</v>
      </c>
      <c r="C76" s="315"/>
      <c r="D76" s="315"/>
    </row>
    <row r="77" spans="1:8">
      <c r="B77" s="1319" t="s">
        <v>489</v>
      </c>
      <c r="C77" s="1259">
        <f>+SUM(C73:C76)</f>
        <v>0</v>
      </c>
      <c r="D77" s="1334">
        <f>+SUM(D73:D76)</f>
        <v>0</v>
      </c>
    </row>
    <row r="78" spans="1:8">
      <c r="B78" s="20"/>
      <c r="C78" s="322"/>
      <c r="D78" s="322"/>
    </row>
    <row r="79" spans="1:8">
      <c r="B79" s="20" t="s">
        <v>299</v>
      </c>
      <c r="C79" s="315"/>
      <c r="D79" s="315"/>
    </row>
    <row r="80" spans="1:8">
      <c r="B80" s="19" t="s">
        <v>300</v>
      </c>
      <c r="C80" s="315"/>
      <c r="D80" s="315"/>
    </row>
    <row r="81" spans="1:6">
      <c r="B81" s="19" t="s">
        <v>301</v>
      </c>
      <c r="C81" s="315"/>
      <c r="D81" s="315"/>
    </row>
    <row r="82" spans="1:6">
      <c r="B82" s="19" t="s">
        <v>302</v>
      </c>
      <c r="C82" s="315"/>
      <c r="D82" s="315"/>
    </row>
    <row r="83" spans="1:6" ht="26.25">
      <c r="B83" s="19" t="s">
        <v>306</v>
      </c>
      <c r="C83" s="315"/>
      <c r="D83" s="315"/>
    </row>
    <row r="84" spans="1:6">
      <c r="B84" s="1319" t="s">
        <v>489</v>
      </c>
      <c r="C84" s="1259">
        <f>+SUM(C80:C83)</f>
        <v>0</v>
      </c>
      <c r="D84" s="1334">
        <f>+SUM(D80:D83)</f>
        <v>0</v>
      </c>
    </row>
    <row r="85" spans="1:6">
      <c r="B85" s="19" t="s">
        <v>303</v>
      </c>
      <c r="C85" s="315"/>
      <c r="D85" s="315"/>
    </row>
    <row r="86" spans="1:6">
      <c r="B86" s="19" t="s">
        <v>304</v>
      </c>
      <c r="C86" s="315"/>
      <c r="D86" s="315"/>
    </row>
    <row r="87" spans="1:6">
      <c r="B87" s="19" t="s">
        <v>103</v>
      </c>
      <c r="C87" s="315"/>
      <c r="D87" s="315"/>
    </row>
    <row r="88" spans="1:6">
      <c r="B88" s="1319" t="s">
        <v>305</v>
      </c>
      <c r="C88" s="1259">
        <f>+C77+C84+SUM(C85:C87)</f>
        <v>0</v>
      </c>
      <c r="D88" s="1259">
        <f>+D77+D84+SUM(D85:D87)</f>
        <v>0</v>
      </c>
    </row>
    <row r="89" spans="1:6">
      <c r="C89" s="152"/>
      <c r="D89" s="152"/>
    </row>
    <row r="90" spans="1:6">
      <c r="B90" s="47" t="s">
        <v>307</v>
      </c>
      <c r="C90" s="317"/>
      <c r="D90" s="318"/>
    </row>
    <row r="91" spans="1:6">
      <c r="B91" s="47" t="s">
        <v>308</v>
      </c>
      <c r="C91" s="317"/>
      <c r="D91" s="318"/>
    </row>
    <row r="92" spans="1:6">
      <c r="B92" s="47" t="s">
        <v>486</v>
      </c>
      <c r="C92" s="318">
        <f>+C88-'E°R° Natural SVS '!D22</f>
        <v>0</v>
      </c>
      <c r="D92" s="318">
        <f>+D88-'E°R° Natural SVS '!E22</f>
        <v>0</v>
      </c>
    </row>
    <row r="94" spans="1:6">
      <c r="A94" s="1" t="s">
        <v>309</v>
      </c>
    </row>
    <row r="95" spans="1:6">
      <c r="B95" s="1295"/>
      <c r="C95" s="2343" t="s">
        <v>243</v>
      </c>
      <c r="D95" s="2343"/>
      <c r="E95" s="2343" t="s">
        <v>244</v>
      </c>
      <c r="F95" s="2332"/>
    </row>
    <row r="96" spans="1:6">
      <c r="B96" s="1325"/>
      <c r="C96" s="2351">
        <f>+Datos!D8</f>
        <v>45657</v>
      </c>
      <c r="D96" s="2351"/>
      <c r="E96" s="2352">
        <f>+Datos!E8</f>
        <v>45291</v>
      </c>
      <c r="F96" s="2352"/>
    </row>
    <row r="97" spans="2:6" ht="26.25">
      <c r="B97" s="1276"/>
      <c r="C97" s="1335" t="s">
        <v>316</v>
      </c>
      <c r="D97" s="1335" t="s">
        <v>192</v>
      </c>
      <c r="E97" s="1335" t="s">
        <v>192</v>
      </c>
      <c r="F97" s="1336" t="s">
        <v>192</v>
      </c>
    </row>
    <row r="98" spans="2:6">
      <c r="C98" s="48"/>
      <c r="D98" s="48"/>
      <c r="E98" s="48"/>
      <c r="F98" s="152"/>
    </row>
    <row r="99" spans="2:6">
      <c r="B99" s="2345" t="s">
        <v>310</v>
      </c>
      <c r="C99" s="2345"/>
      <c r="D99" s="511">
        <f>+'E°R° Natural SVS '!D21</f>
        <v>0</v>
      </c>
      <c r="E99" s="627">
        <f>+'E°R° Natural SVS '!E21</f>
        <v>0</v>
      </c>
      <c r="F99" s="315"/>
    </row>
    <row r="100" spans="2:6">
      <c r="B100" s="2344" t="s">
        <v>311</v>
      </c>
      <c r="C100" s="2344"/>
      <c r="D100" s="511">
        <v>0.27</v>
      </c>
      <c r="E100" s="627">
        <v>0.27</v>
      </c>
      <c r="F100" s="315"/>
    </row>
    <row r="101" spans="2:6">
      <c r="B101" s="1319" t="s">
        <v>682</v>
      </c>
      <c r="C101" s="1224"/>
      <c r="D101" s="1306">
        <f>-D99*D100</f>
        <v>0</v>
      </c>
      <c r="E101" s="1306">
        <f>-E99*E100</f>
        <v>0</v>
      </c>
      <c r="F101" s="1306">
        <f>-F99*F100</f>
        <v>0</v>
      </c>
    </row>
    <row r="102" spans="2:6" ht="26.25">
      <c r="B102" s="19" t="s">
        <v>314</v>
      </c>
      <c r="C102" s="188"/>
      <c r="D102" s="511"/>
      <c r="E102" s="627"/>
      <c r="F102" s="315"/>
    </row>
    <row r="103" spans="2:6">
      <c r="B103" s="21" t="s">
        <v>312</v>
      </c>
      <c r="C103" s="188"/>
      <c r="D103" s="511"/>
      <c r="E103" s="511"/>
      <c r="F103" s="315"/>
    </row>
    <row r="104" spans="2:6">
      <c r="B104" s="19" t="s">
        <v>313</v>
      </c>
      <c r="C104" s="188"/>
      <c r="D104" s="511"/>
      <c r="E104" s="511"/>
      <c r="F104" s="315"/>
    </row>
    <row r="105" spans="2:6">
      <c r="B105" s="19" t="s">
        <v>490</v>
      </c>
      <c r="C105" s="188"/>
      <c r="D105" s="511"/>
      <c r="E105" s="627"/>
      <c r="F105" s="315"/>
    </row>
    <row r="106" spans="2:6">
      <c r="B106" s="19" t="s">
        <v>71</v>
      </c>
      <c r="C106" s="188"/>
      <c r="D106" s="511"/>
      <c r="E106" s="511"/>
      <c r="F106" s="315"/>
    </row>
    <row r="107" spans="2:6" ht="26.25">
      <c r="B107" s="19" t="s">
        <v>677</v>
      </c>
      <c r="C107" s="188"/>
      <c r="D107" s="511"/>
      <c r="E107" s="511"/>
      <c r="F107" s="315"/>
    </row>
    <row r="108" spans="2:6">
      <c r="B108" s="19" t="s">
        <v>683</v>
      </c>
      <c r="C108" s="188"/>
      <c r="D108" s="511"/>
      <c r="E108" s="627">
        <f>-D80</f>
        <v>0</v>
      </c>
      <c r="F108" s="315"/>
    </row>
    <row r="109" spans="2:6">
      <c r="B109" s="19" t="s">
        <v>678</v>
      </c>
      <c r="C109" s="188"/>
      <c r="D109" s="511"/>
      <c r="E109" s="511"/>
      <c r="F109" s="315"/>
    </row>
    <row r="110" spans="2:6">
      <c r="B110" s="19" t="s">
        <v>679</v>
      </c>
      <c r="C110" s="188"/>
      <c r="D110" s="511"/>
      <c r="E110" s="511"/>
      <c r="F110" s="315"/>
    </row>
    <row r="111" spans="2:6">
      <c r="B111" s="19" t="s">
        <v>680</v>
      </c>
      <c r="C111" s="188"/>
      <c r="D111" s="511"/>
      <c r="E111" s="511"/>
      <c r="F111" s="315"/>
    </row>
    <row r="112" spans="2:6">
      <c r="B112" s="19" t="s">
        <v>681</v>
      </c>
      <c r="C112" s="188"/>
      <c r="D112" s="511"/>
      <c r="E112" s="511"/>
      <c r="F112" s="315"/>
    </row>
    <row r="113" spans="2:6">
      <c r="B113" s="19" t="s">
        <v>103</v>
      </c>
      <c r="C113" s="188"/>
      <c r="D113" s="511"/>
      <c r="E113" s="511"/>
      <c r="F113" s="315"/>
    </row>
    <row r="114" spans="2:6">
      <c r="B114" s="1319" t="s">
        <v>315</v>
      </c>
      <c r="C114" s="1337"/>
      <c r="D114" s="1259">
        <f>+SUM(D101:D113)</f>
        <v>0</v>
      </c>
      <c r="E114" s="1259">
        <f>+SUM(E101:E113)</f>
        <v>0</v>
      </c>
      <c r="F114" s="1338">
        <f>+SUM(F101:F113)</f>
        <v>0</v>
      </c>
    </row>
    <row r="115" spans="2:6">
      <c r="D115" s="152"/>
      <c r="E115" s="152"/>
      <c r="F115" s="152"/>
    </row>
    <row r="116" spans="2:6">
      <c r="B116" s="47" t="s">
        <v>289</v>
      </c>
      <c r="C116" s="15"/>
      <c r="D116" s="317">
        <f>+C88-D114</f>
        <v>0</v>
      </c>
      <c r="E116" s="317">
        <f>+D88-E114</f>
        <v>0</v>
      </c>
      <c r="F116" s="318">
        <f>+D88-F114</f>
        <v>0</v>
      </c>
    </row>
    <row r="117" spans="2:6">
      <c r="B117" s="19"/>
    </row>
  </sheetData>
  <mergeCells count="13">
    <mergeCell ref="G50:H50"/>
    <mergeCell ref="G51:H51"/>
    <mergeCell ref="C95:D95"/>
    <mergeCell ref="E95:F95"/>
    <mergeCell ref="B100:C100"/>
    <mergeCell ref="B99:C99"/>
    <mergeCell ref="B50:B53"/>
    <mergeCell ref="C50:D50"/>
    <mergeCell ref="C51:D51"/>
    <mergeCell ref="C96:D96"/>
    <mergeCell ref="E96:F96"/>
    <mergeCell ref="E50:F50"/>
    <mergeCell ref="E51:F51"/>
  </mergeCells>
  <hyperlinks>
    <hyperlink ref="D1" location="'Est Situacion'!A1" display="Volver" xr:uid="{00000000-0004-0000-1E00-000000000000}"/>
  </hyperlinks>
  <pageMargins left="0.70866141732283472" right="0.70866141732283472" top="0.74803149606299213" bottom="0.74803149606299213" header="0.31496062992125984" footer="0.31496062992125984"/>
  <pageSetup paperSize="9" scale="58" fitToHeight="2" orientation="landscape" r:id="rId1"/>
  <rowBreaks count="1" manualBreakCount="1">
    <brk id="66"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A1:H45"/>
  <sheetViews>
    <sheetView showGridLines="0" workbookViewId="0">
      <selection activeCell="G17" sqref="G17"/>
    </sheetView>
  </sheetViews>
  <sheetFormatPr baseColWidth="10" defaultRowHeight="14.25"/>
  <cols>
    <col min="1" max="1" width="11.46484375" style="1"/>
    <col min="2" max="2" width="12.19921875" style="1" customWidth="1"/>
    <col min="3" max="3" width="37.796875" style="1" customWidth="1"/>
    <col min="4" max="5" width="15.796875" style="2" customWidth="1"/>
    <col min="6" max="6" width="15.796875" style="1" customWidth="1"/>
    <col min="7" max="8" width="15.796875" style="2" customWidth="1"/>
  </cols>
  <sheetData>
    <row r="1" spans="1:8">
      <c r="A1" s="33" t="s">
        <v>206</v>
      </c>
      <c r="B1" s="33"/>
      <c r="C1"/>
      <c r="F1" s="56" t="s">
        <v>417</v>
      </c>
    </row>
    <row r="3" spans="1:8">
      <c r="B3" s="2322" t="s">
        <v>433</v>
      </c>
      <c r="C3" s="2322" t="s">
        <v>207</v>
      </c>
      <c r="D3" s="1339"/>
      <c r="E3" s="1339"/>
      <c r="F3" s="1340"/>
      <c r="G3" s="1339"/>
      <c r="H3" s="1340"/>
    </row>
    <row r="4" spans="1:8">
      <c r="B4" s="2353"/>
      <c r="C4" s="2353"/>
      <c r="D4" s="1341" t="s">
        <v>444</v>
      </c>
      <c r="E4" s="1341" t="s">
        <v>39</v>
      </c>
      <c r="F4" s="1342" t="s">
        <v>205</v>
      </c>
      <c r="G4" s="1341" t="s">
        <v>445</v>
      </c>
      <c r="H4" s="1342" t="s">
        <v>446</v>
      </c>
    </row>
    <row r="5" spans="1:8">
      <c r="B5" s="2353"/>
      <c r="C5" s="2353"/>
      <c r="D5" s="1267" t="s">
        <v>447</v>
      </c>
      <c r="E5" s="1267" t="s">
        <v>448</v>
      </c>
      <c r="F5" s="1343" t="s">
        <v>449</v>
      </c>
      <c r="G5" s="1267" t="s">
        <v>448</v>
      </c>
      <c r="H5" s="1287" t="s">
        <v>450</v>
      </c>
    </row>
    <row r="6" spans="1:8">
      <c r="B6" s="2354"/>
      <c r="C6" s="2354"/>
      <c r="D6" s="1270"/>
      <c r="E6" s="1270" t="s">
        <v>20</v>
      </c>
      <c r="F6" s="1344" t="s">
        <v>20</v>
      </c>
      <c r="G6" s="1270" t="s">
        <v>20</v>
      </c>
      <c r="H6" s="1277" t="s">
        <v>20</v>
      </c>
    </row>
    <row r="7" spans="1:8">
      <c r="B7" s="487"/>
      <c r="C7" s="487"/>
      <c r="D7" s="512"/>
      <c r="E7" s="356"/>
      <c r="F7" s="320"/>
      <c r="G7" s="356"/>
      <c r="H7" s="357"/>
    </row>
    <row r="8" spans="1:8">
      <c r="B8" s="16"/>
      <c r="C8" s="16"/>
      <c r="D8" s="512"/>
      <c r="E8" s="356"/>
      <c r="F8" s="320"/>
      <c r="G8" s="356"/>
      <c r="H8" s="357"/>
    </row>
    <row r="9" spans="1:8">
      <c r="B9" s="16"/>
      <c r="C9" s="16"/>
      <c r="D9" s="512"/>
      <c r="E9" s="356"/>
      <c r="F9" s="320"/>
      <c r="G9" s="356"/>
      <c r="H9" s="357"/>
    </row>
    <row r="10" spans="1:8">
      <c r="B10" s="16"/>
      <c r="C10" s="16"/>
      <c r="D10" s="512"/>
      <c r="E10" s="356"/>
      <c r="F10" s="320"/>
      <c r="G10" s="356"/>
      <c r="H10" s="357"/>
    </row>
    <row r="11" spans="1:8">
      <c r="B11" s="16"/>
      <c r="C11" s="16"/>
      <c r="D11" s="512"/>
      <c r="E11" s="356"/>
      <c r="F11" s="320"/>
      <c r="G11" s="356"/>
      <c r="H11" s="357"/>
    </row>
    <row r="12" spans="1:8">
      <c r="B12" s="16"/>
      <c r="C12" s="16"/>
      <c r="D12" s="512"/>
      <c r="E12" s="356"/>
      <c r="F12" s="320"/>
      <c r="G12" s="356"/>
      <c r="H12" s="357"/>
    </row>
    <row r="13" spans="1:8">
      <c r="B13" s="16"/>
      <c r="C13" s="16"/>
      <c r="D13" s="512"/>
      <c r="E13" s="356"/>
      <c r="F13" s="320"/>
      <c r="G13" s="356"/>
      <c r="H13" s="357"/>
    </row>
    <row r="14" spans="1:8">
      <c r="B14" s="488"/>
      <c r="C14" s="488"/>
      <c r="D14" s="356"/>
      <c r="E14" s="356"/>
      <c r="F14" s="320"/>
      <c r="G14" s="356"/>
      <c r="H14" s="357"/>
    </row>
    <row r="15" spans="1:8">
      <c r="C15" s="1345" t="s">
        <v>109</v>
      </c>
      <c r="D15" s="1313"/>
      <c r="E15" s="1313"/>
      <c r="F15" s="1334">
        <f>+SUM(F7:F14)</f>
        <v>0</v>
      </c>
      <c r="G15" s="1313"/>
      <c r="H15" s="1334">
        <f>+SUM(H7:H14)</f>
        <v>0</v>
      </c>
    </row>
    <row r="16" spans="1:8">
      <c r="D16" s="316"/>
      <c r="E16" s="358"/>
      <c r="F16" s="359"/>
      <c r="G16" s="358"/>
      <c r="H16" s="360"/>
    </row>
    <row r="17" spans="1:8">
      <c r="C17" s="3" t="s">
        <v>201</v>
      </c>
      <c r="D17" s="351"/>
      <c r="E17" s="361"/>
      <c r="F17" s="318">
        <f>+F15-'Est Situacion'!G30</f>
        <v>0</v>
      </c>
      <c r="G17" s="361"/>
      <c r="H17" s="318"/>
    </row>
    <row r="20" spans="1:8">
      <c r="A20" s="1" t="s">
        <v>214</v>
      </c>
    </row>
    <row r="21" spans="1:8">
      <c r="C21" s="1320"/>
      <c r="D21" s="1297" t="s">
        <v>141</v>
      </c>
      <c r="E21" s="1298" t="s">
        <v>199</v>
      </c>
      <c r="F21" s="255"/>
    </row>
    <row r="22" spans="1:8">
      <c r="C22" s="1323"/>
      <c r="D22" s="1300">
        <f>+Datos!D6</f>
        <v>45657</v>
      </c>
      <c r="E22" s="1301">
        <f>+Datos!E6</f>
        <v>45291</v>
      </c>
      <c r="F22" s="460"/>
    </row>
    <row r="23" spans="1:8">
      <c r="C23" s="1322"/>
      <c r="D23" s="1221" t="s">
        <v>20</v>
      </c>
      <c r="E23" s="1277" t="s">
        <v>20</v>
      </c>
      <c r="F23" s="10"/>
    </row>
    <row r="24" spans="1:8">
      <c r="C24" s="9" t="s">
        <v>208</v>
      </c>
      <c r="D24" s="489"/>
      <c r="E24" s="489"/>
      <c r="F24" s="315"/>
    </row>
    <row r="25" spans="1:8">
      <c r="C25" s="9" t="s">
        <v>209</v>
      </c>
      <c r="D25" s="490"/>
      <c r="E25" s="490"/>
      <c r="F25" s="315"/>
    </row>
    <row r="26" spans="1:8">
      <c r="C26" s="9" t="s">
        <v>210</v>
      </c>
      <c r="D26" s="490"/>
      <c r="E26" s="490"/>
      <c r="F26" s="315"/>
    </row>
    <row r="27" spans="1:8">
      <c r="C27" s="9" t="s">
        <v>211</v>
      </c>
      <c r="D27" s="490"/>
      <c r="E27" s="490"/>
      <c r="F27" s="315"/>
    </row>
    <row r="28" spans="1:8">
      <c r="C28" s="9" t="s">
        <v>212</v>
      </c>
      <c r="D28" s="490"/>
      <c r="E28" s="490"/>
      <c r="F28" s="315"/>
    </row>
    <row r="29" spans="1:8">
      <c r="C29" s="9" t="s">
        <v>213</v>
      </c>
      <c r="D29" s="490"/>
      <c r="E29" s="490"/>
      <c r="F29" s="315"/>
    </row>
    <row r="30" spans="1:8">
      <c r="C30" s="9" t="s">
        <v>66</v>
      </c>
      <c r="D30" s="491"/>
      <c r="E30" s="491"/>
      <c r="F30" s="315"/>
    </row>
    <row r="31" spans="1:8">
      <c r="C31" s="1242" t="s">
        <v>109</v>
      </c>
      <c r="D31" s="1313">
        <f>+SUM(D24:D30)</f>
        <v>0</v>
      </c>
      <c r="E31" s="1259">
        <f t="shared" ref="E31" si="0">+SUM(E24:E30)</f>
        <v>0</v>
      </c>
      <c r="F31" s="316"/>
    </row>
    <row r="33" spans="1:6">
      <c r="C33" s="3" t="s">
        <v>201</v>
      </c>
      <c r="D33" s="317">
        <f>+F17-D31</f>
        <v>0</v>
      </c>
      <c r="E33" s="317">
        <f>+E31-'Est Situacion'!H30</f>
        <v>0</v>
      </c>
      <c r="F33" s="377"/>
    </row>
    <row r="35" spans="1:6">
      <c r="A35" s="1" t="s">
        <v>215</v>
      </c>
    </row>
    <row r="36" spans="1:6">
      <c r="C36" s="1320"/>
      <c r="D36" s="1297" t="s">
        <v>141</v>
      </c>
      <c r="E36" s="1298" t="s">
        <v>199</v>
      </c>
      <c r="F36" s="255"/>
    </row>
    <row r="37" spans="1:6">
      <c r="C37" s="1323"/>
      <c r="D37" s="1300">
        <f>+Datos!D6</f>
        <v>45657</v>
      </c>
      <c r="E37" s="1301">
        <f>+Datos!E6</f>
        <v>45291</v>
      </c>
      <c r="F37" s="460"/>
    </row>
    <row r="38" spans="1:6">
      <c r="C38" s="1322"/>
      <c r="D38" s="1221" t="s">
        <v>20</v>
      </c>
      <c r="E38" s="1277" t="s">
        <v>20</v>
      </c>
      <c r="F38" s="10"/>
    </row>
    <row r="39" spans="1:6">
      <c r="D39" s="316"/>
      <c r="E39" s="316"/>
      <c r="F39" s="152"/>
    </row>
    <row r="40" spans="1:6">
      <c r="C40" s="1" t="s">
        <v>216</v>
      </c>
      <c r="D40" s="322"/>
      <c r="E40" s="322"/>
      <c r="F40" s="315"/>
    </row>
    <row r="41" spans="1:6">
      <c r="C41" s="1" t="s">
        <v>217</v>
      </c>
      <c r="D41" s="322"/>
      <c r="E41" s="322"/>
      <c r="F41" s="315"/>
    </row>
    <row r="42" spans="1:6">
      <c r="D42" s="316"/>
      <c r="E42" s="316"/>
      <c r="F42" s="152"/>
    </row>
    <row r="43" spans="1:6">
      <c r="C43" s="1242" t="s">
        <v>109</v>
      </c>
      <c r="D43" s="1313">
        <f>+SUM(D39:D42)</f>
        <v>0</v>
      </c>
      <c r="E43" s="1259">
        <f t="shared" ref="E43" si="1">+SUM(E39:E42)</f>
        <v>0</v>
      </c>
      <c r="F43" s="316"/>
    </row>
    <row r="44" spans="1:6">
      <c r="D44" s="316"/>
      <c r="E44" s="316"/>
      <c r="F44" s="152"/>
    </row>
    <row r="45" spans="1:6">
      <c r="C45" s="3" t="s">
        <v>201</v>
      </c>
      <c r="D45" s="317">
        <f>+D29-D41</f>
        <v>0</v>
      </c>
      <c r="E45" s="317">
        <f t="shared" ref="E45" si="2">+E29-E41</f>
        <v>0</v>
      </c>
      <c r="F45" s="377"/>
    </row>
  </sheetData>
  <mergeCells count="2">
    <mergeCell ref="B3:B6"/>
    <mergeCell ref="C3:C6"/>
  </mergeCells>
  <hyperlinks>
    <hyperlink ref="F1" location="'Est Situacion'!A1" display="Volver" xr:uid="{00000000-0004-0000-1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5"/>
  <dimension ref="A1:J61"/>
  <sheetViews>
    <sheetView showGridLines="0" workbookViewId="0">
      <selection activeCell="M16" sqref="M16"/>
    </sheetView>
  </sheetViews>
  <sheetFormatPr baseColWidth="10" defaultRowHeight="14.25"/>
  <cols>
    <col min="1" max="1" width="11.46484375" style="1"/>
    <col min="2" max="2" width="32.46484375" style="1" customWidth="1"/>
    <col min="3" max="3" width="12.53125" style="1" customWidth="1"/>
    <col min="4" max="4" width="11.46484375" style="1"/>
    <col min="5" max="6" width="12" style="1" customWidth="1"/>
    <col min="7" max="9" width="11.46484375" style="1"/>
    <col min="10" max="10" width="13.796875" style="1" customWidth="1"/>
  </cols>
  <sheetData>
    <row r="1" spans="1:10">
      <c r="A1" s="33" t="s">
        <v>251</v>
      </c>
      <c r="B1" s="2"/>
      <c r="C1" s="2"/>
      <c r="D1" s="2"/>
      <c r="E1" s="2"/>
      <c r="F1" s="2"/>
      <c r="J1" s="56" t="s">
        <v>417</v>
      </c>
    </row>
    <row r="2" spans="1:10">
      <c r="A2" s="33"/>
      <c r="B2" s="2"/>
      <c r="C2" s="2"/>
      <c r="D2" s="2"/>
      <c r="E2" s="2"/>
      <c r="F2" s="2"/>
      <c r="H2" s="22"/>
    </row>
    <row r="3" spans="1:10">
      <c r="B3" s="1295"/>
      <c r="C3" s="1296"/>
      <c r="D3" s="1296"/>
      <c r="E3" s="2328" t="s">
        <v>193</v>
      </c>
      <c r="F3" s="2365"/>
      <c r="G3" s="2365"/>
      <c r="H3" s="1346" t="s">
        <v>257</v>
      </c>
      <c r="I3" s="1346" t="s">
        <v>257</v>
      </c>
    </row>
    <row r="4" spans="1:10">
      <c r="B4" s="1325"/>
      <c r="C4" s="1347"/>
      <c r="D4" s="1347"/>
      <c r="E4" s="2366">
        <f>+Datos!D6</f>
        <v>45657</v>
      </c>
      <c r="F4" s="2351"/>
      <c r="G4" s="2351"/>
      <c r="H4" s="1348">
        <f>+Datos!E6</f>
        <v>45291</v>
      </c>
      <c r="I4" s="1348">
        <f>+Datos!F6</f>
        <v>44927</v>
      </c>
    </row>
    <row r="5" spans="1:10" ht="26.25">
      <c r="B5" s="1325"/>
      <c r="C5" s="1349" t="s">
        <v>252</v>
      </c>
      <c r="D5" s="1349" t="s">
        <v>256</v>
      </c>
      <c r="E5" s="1272" t="s">
        <v>253</v>
      </c>
      <c r="F5" s="1349" t="s">
        <v>255</v>
      </c>
      <c r="G5" s="1349" t="s">
        <v>254</v>
      </c>
      <c r="H5" s="1280" t="s">
        <v>254</v>
      </c>
      <c r="I5" s="1280" t="s">
        <v>254</v>
      </c>
    </row>
    <row r="6" spans="1:10">
      <c r="B6" s="1276"/>
      <c r="C6" s="1335"/>
      <c r="D6" s="1335"/>
      <c r="E6" s="1350" t="s">
        <v>20</v>
      </c>
      <c r="F6" s="1351" t="s">
        <v>20</v>
      </c>
      <c r="G6" s="1351" t="s">
        <v>20</v>
      </c>
      <c r="H6" s="1352" t="s">
        <v>20</v>
      </c>
      <c r="I6" s="1352" t="s">
        <v>20</v>
      </c>
      <c r="J6" s="46"/>
    </row>
    <row r="7" spans="1:10">
      <c r="E7" s="9"/>
      <c r="H7" s="16"/>
      <c r="I7" s="16"/>
    </row>
    <row r="8" spans="1:10" ht="26.65">
      <c r="B8" s="19" t="s">
        <v>258</v>
      </c>
      <c r="C8" s="188"/>
      <c r="D8" s="188"/>
      <c r="E8" s="9"/>
      <c r="H8" s="16"/>
      <c r="I8" s="16"/>
    </row>
    <row r="9" spans="1:10">
      <c r="B9" s="58" t="s">
        <v>463</v>
      </c>
      <c r="C9" s="188"/>
      <c r="D9" s="188"/>
      <c r="E9" s="368">
        <f>+C29</f>
        <v>0</v>
      </c>
      <c r="F9" s="152">
        <f>+C47</f>
        <v>0</v>
      </c>
      <c r="G9" s="152">
        <f>+E9+F9</f>
        <v>0</v>
      </c>
      <c r="H9" s="369">
        <f>+C59</f>
        <v>0</v>
      </c>
      <c r="I9" s="369">
        <f>+D59</f>
        <v>0</v>
      </c>
    </row>
    <row r="10" spans="1:10">
      <c r="B10" s="58" t="s">
        <v>464</v>
      </c>
      <c r="C10" s="188"/>
      <c r="D10" s="188"/>
      <c r="E10" s="368">
        <f>+D29</f>
        <v>0</v>
      </c>
      <c r="F10" s="152">
        <f>+D47</f>
        <v>0</v>
      </c>
      <c r="G10" s="152">
        <f>+E10+F10</f>
        <v>0</v>
      </c>
      <c r="H10" s="369">
        <f>+D59</f>
        <v>0</v>
      </c>
      <c r="I10" s="369">
        <f>+E59</f>
        <v>0</v>
      </c>
    </row>
    <row r="11" spans="1:10" ht="26.65">
      <c r="B11" s="19" t="s">
        <v>259</v>
      </c>
      <c r="C11" s="188"/>
      <c r="D11" s="188"/>
      <c r="E11" s="368">
        <f>+E29</f>
        <v>0</v>
      </c>
      <c r="F11" s="152">
        <f>+E47</f>
        <v>0</v>
      </c>
      <c r="G11" s="152">
        <f t="shared" ref="G11:G15" si="0">+E11+F11</f>
        <v>0</v>
      </c>
      <c r="H11" s="369">
        <f>+E59</f>
        <v>0</v>
      </c>
      <c r="I11" s="369">
        <f>+F59</f>
        <v>0</v>
      </c>
    </row>
    <row r="12" spans="1:10">
      <c r="B12" s="19" t="s">
        <v>260</v>
      </c>
      <c r="C12" s="188"/>
      <c r="D12" s="188"/>
      <c r="E12" s="368">
        <f>+F29</f>
        <v>0</v>
      </c>
      <c r="F12" s="152">
        <f>+F47</f>
        <v>0</v>
      </c>
      <c r="G12" s="152">
        <f t="shared" si="0"/>
        <v>0</v>
      </c>
      <c r="H12" s="369">
        <f>+F59</f>
        <v>0</v>
      </c>
      <c r="I12" s="369">
        <f>+G59</f>
        <v>0</v>
      </c>
    </row>
    <row r="13" spans="1:10">
      <c r="B13" s="19" t="s">
        <v>103</v>
      </c>
      <c r="C13" s="188"/>
      <c r="D13" s="188"/>
      <c r="E13" s="368"/>
      <c r="F13" s="152"/>
      <c r="G13" s="152"/>
      <c r="H13" s="369"/>
      <c r="I13" s="369"/>
    </row>
    <row r="14" spans="1:10">
      <c r="B14" s="42" t="s">
        <v>465</v>
      </c>
      <c r="C14" s="188"/>
      <c r="D14" s="188"/>
      <c r="E14" s="368">
        <f>+G29</f>
        <v>0</v>
      </c>
      <c r="F14" s="152">
        <f>+G47</f>
        <v>0</v>
      </c>
      <c r="G14" s="152">
        <f t="shared" si="0"/>
        <v>0</v>
      </c>
      <c r="H14" s="369">
        <f>+G59</f>
        <v>0</v>
      </c>
      <c r="I14" s="369">
        <f>+H59</f>
        <v>0</v>
      </c>
    </row>
    <row r="15" spans="1:10">
      <c r="B15" s="42" t="s">
        <v>466</v>
      </c>
      <c r="C15" s="188"/>
      <c r="D15" s="188"/>
      <c r="E15" s="368">
        <f>+H29</f>
        <v>0</v>
      </c>
      <c r="F15" s="152">
        <f>+H47</f>
        <v>0</v>
      </c>
      <c r="G15" s="152">
        <f t="shared" si="0"/>
        <v>0</v>
      </c>
      <c r="H15" s="369">
        <f>+H59</f>
        <v>0</v>
      </c>
      <c r="I15" s="369">
        <f>+I59</f>
        <v>0</v>
      </c>
    </row>
    <row r="16" spans="1:10">
      <c r="B16" s="1242" t="s">
        <v>189</v>
      </c>
      <c r="C16" s="1224"/>
      <c r="D16" s="1224"/>
      <c r="E16" s="1313">
        <f>+SUM(E8:E15)</f>
        <v>0</v>
      </c>
      <c r="F16" s="1313">
        <f t="shared" ref="F16:H16" si="1">+SUM(F8:F15)</f>
        <v>0</v>
      </c>
      <c r="G16" s="1313">
        <f t="shared" si="1"/>
        <v>0</v>
      </c>
      <c r="H16" s="1228">
        <f t="shared" si="1"/>
        <v>0</v>
      </c>
      <c r="I16" s="1228">
        <f t="shared" ref="I16" si="2">+SUM(I8:I15)</f>
        <v>0</v>
      </c>
    </row>
    <row r="17" spans="1:10">
      <c r="E17" s="152"/>
      <c r="F17" s="152"/>
      <c r="G17" s="152"/>
      <c r="H17" s="152"/>
      <c r="I17" s="152"/>
    </row>
    <row r="18" spans="1:10">
      <c r="B18" s="3" t="s">
        <v>203</v>
      </c>
      <c r="C18" s="12"/>
      <c r="D18" s="12"/>
      <c r="E18" s="354"/>
      <c r="F18" s="354"/>
      <c r="G18" s="317">
        <f>+G16-'Est Situacion'!G31</f>
        <v>0</v>
      </c>
      <c r="H18" s="317">
        <f>+H16-'Est Situacion'!H31</f>
        <v>0</v>
      </c>
      <c r="I18" s="317">
        <f>+I16-'Est Situacion'!I31</f>
        <v>0</v>
      </c>
    </row>
    <row r="21" spans="1:10">
      <c r="B21" s="2367" t="s">
        <v>436</v>
      </c>
      <c r="C21" s="2361" t="s">
        <v>258</v>
      </c>
      <c r="D21" s="2362"/>
      <c r="E21" s="2322" t="s">
        <v>259</v>
      </c>
      <c r="F21" s="2324" t="s">
        <v>260</v>
      </c>
      <c r="G21" s="2363" t="s">
        <v>108</v>
      </c>
      <c r="H21" s="2364"/>
      <c r="I21" s="2355" t="s">
        <v>457</v>
      </c>
    </row>
    <row r="22" spans="1:10">
      <c r="B22" s="2368"/>
      <c r="C22" s="1272" t="s">
        <v>451</v>
      </c>
      <c r="D22" s="1353" t="s">
        <v>452</v>
      </c>
      <c r="E22" s="2353"/>
      <c r="F22" s="2370"/>
      <c r="G22" s="1354" t="s">
        <v>103</v>
      </c>
      <c r="H22" s="1343"/>
      <c r="I22" s="2356"/>
    </row>
    <row r="23" spans="1:10">
      <c r="B23" s="2368"/>
      <c r="C23" s="1272" t="s">
        <v>453</v>
      </c>
      <c r="D23" s="1353" t="s">
        <v>454</v>
      </c>
      <c r="E23" s="2353"/>
      <c r="F23" s="2370"/>
      <c r="G23" s="1354" t="s">
        <v>455</v>
      </c>
      <c r="H23" s="1343" t="s">
        <v>456</v>
      </c>
      <c r="I23" s="2356"/>
    </row>
    <row r="24" spans="1:10">
      <c r="B24" s="2369"/>
      <c r="C24" s="1355" t="s">
        <v>20</v>
      </c>
      <c r="D24" s="1336" t="s">
        <v>20</v>
      </c>
      <c r="E24" s="2354"/>
      <c r="F24" s="2371"/>
      <c r="G24" s="1356" t="s">
        <v>20</v>
      </c>
      <c r="H24" s="1344" t="s">
        <v>20</v>
      </c>
      <c r="I24" s="2357"/>
    </row>
    <row r="25" spans="1:10">
      <c r="A25" s="45" t="s">
        <v>230</v>
      </c>
      <c r="B25" s="238" t="s">
        <v>1358</v>
      </c>
      <c r="C25" s="362">
        <f>+C35</f>
        <v>0</v>
      </c>
      <c r="D25" s="362">
        <f>+D35</f>
        <v>0</v>
      </c>
      <c r="E25" s="362">
        <f t="shared" ref="E25:H25" si="3">+E50</f>
        <v>0</v>
      </c>
      <c r="F25" s="362">
        <f t="shared" si="3"/>
        <v>0</v>
      </c>
      <c r="G25" s="362">
        <f t="shared" si="3"/>
        <v>0</v>
      </c>
      <c r="H25" s="362">
        <f t="shared" si="3"/>
        <v>0</v>
      </c>
      <c r="I25" s="362">
        <f>+SUM(C25:H25)</f>
        <v>0</v>
      </c>
    </row>
    <row r="26" spans="1:10">
      <c r="B26" s="188" t="s">
        <v>261</v>
      </c>
      <c r="C26" s="315"/>
      <c r="D26" s="315"/>
      <c r="E26" s="315"/>
      <c r="F26" s="315"/>
      <c r="G26" s="315"/>
      <c r="H26" s="315"/>
      <c r="I26" s="315">
        <f>+SUM(C26:H26)</f>
        <v>0</v>
      </c>
    </row>
    <row r="27" spans="1:10">
      <c r="B27" s="188" t="s">
        <v>262</v>
      </c>
      <c r="C27" s="315"/>
      <c r="D27" s="315"/>
      <c r="E27" s="315"/>
      <c r="F27" s="315"/>
      <c r="G27" s="315"/>
      <c r="H27" s="315"/>
      <c r="I27" s="315">
        <f t="shared" ref="I27:I28" si="4">+SUM(C27:H27)</f>
        <v>0</v>
      </c>
    </row>
    <row r="28" spans="1:10">
      <c r="B28" s="188" t="s">
        <v>263</v>
      </c>
      <c r="C28" s="315"/>
      <c r="D28" s="315"/>
      <c r="E28" s="315"/>
      <c r="F28" s="315"/>
      <c r="G28" s="315"/>
      <c r="H28" s="315"/>
      <c r="I28" s="315">
        <f t="shared" si="4"/>
        <v>0</v>
      </c>
    </row>
    <row r="29" spans="1:10">
      <c r="B29" s="363" t="s">
        <v>1359</v>
      </c>
      <c r="C29" s="364">
        <f>+SUM(C25:C28)</f>
        <v>0</v>
      </c>
      <c r="D29" s="364">
        <f t="shared" ref="D29:I29" si="5">+SUM(D25:D28)</f>
        <v>0</v>
      </c>
      <c r="E29" s="364">
        <f t="shared" si="5"/>
        <v>0</v>
      </c>
      <c r="F29" s="364">
        <f t="shared" si="5"/>
        <v>0</v>
      </c>
      <c r="G29" s="364">
        <f t="shared" si="5"/>
        <v>0</v>
      </c>
      <c r="H29" s="364">
        <f t="shared" si="5"/>
        <v>0</v>
      </c>
      <c r="I29" s="365">
        <f t="shared" si="5"/>
        <v>0</v>
      </c>
      <c r="J29" s="2"/>
    </row>
    <row r="30" spans="1:10">
      <c r="B30" s="188"/>
      <c r="C30" s="315"/>
      <c r="D30" s="315"/>
      <c r="E30" s="315"/>
      <c r="F30" s="315"/>
      <c r="G30" s="315"/>
      <c r="H30" s="315"/>
      <c r="I30" s="315"/>
    </row>
    <row r="31" spans="1:10">
      <c r="B31" s="238" t="s">
        <v>1357</v>
      </c>
      <c r="C31" s="362"/>
      <c r="D31" s="362"/>
      <c r="E31" s="362"/>
      <c r="F31" s="362"/>
      <c r="G31" s="362"/>
      <c r="H31" s="362"/>
      <c r="I31" s="362">
        <f>+SUM(C31:H31)</f>
        <v>0</v>
      </c>
    </row>
    <row r="32" spans="1:10">
      <c r="B32" s="188" t="s">
        <v>261</v>
      </c>
      <c r="C32" s="315"/>
      <c r="D32" s="315"/>
      <c r="E32" s="315"/>
      <c r="F32" s="315"/>
      <c r="G32" s="315"/>
      <c r="H32" s="315"/>
      <c r="I32" s="315">
        <f>+SUM(C32:H32)</f>
        <v>0</v>
      </c>
    </row>
    <row r="33" spans="2:9">
      <c r="B33" s="188" t="s">
        <v>262</v>
      </c>
      <c r="C33" s="315"/>
      <c r="D33" s="315"/>
      <c r="E33" s="315"/>
      <c r="F33" s="315"/>
      <c r="G33" s="315"/>
      <c r="H33" s="315"/>
      <c r="I33" s="315">
        <f t="shared" ref="I33:I34" si="6">+SUM(C33:H33)</f>
        <v>0</v>
      </c>
    </row>
    <row r="34" spans="2:9">
      <c r="B34" s="188" t="s">
        <v>263</v>
      </c>
      <c r="C34" s="315"/>
      <c r="D34" s="315"/>
      <c r="E34" s="315"/>
      <c r="F34" s="315"/>
      <c r="G34" s="315"/>
      <c r="H34" s="315"/>
      <c r="I34" s="315">
        <f t="shared" si="6"/>
        <v>0</v>
      </c>
    </row>
    <row r="35" spans="2:9">
      <c r="B35" s="1357">
        <f>+Datos!E6</f>
        <v>45291</v>
      </c>
      <c r="C35" s="1306">
        <f>+SUM(C31:C34)</f>
        <v>0</v>
      </c>
      <c r="D35" s="1306">
        <f t="shared" ref="D35:H35" si="7">+SUM(D31:D34)</f>
        <v>0</v>
      </c>
      <c r="E35" s="1306">
        <f t="shared" si="7"/>
        <v>0</v>
      </c>
      <c r="F35" s="1306">
        <f t="shared" si="7"/>
        <v>0</v>
      </c>
      <c r="G35" s="1306">
        <f t="shared" si="7"/>
        <v>0</v>
      </c>
      <c r="H35" s="1306">
        <f t="shared" si="7"/>
        <v>0</v>
      </c>
      <c r="I35" s="1245">
        <f>+SUM(I31:I34)</f>
        <v>0</v>
      </c>
    </row>
    <row r="38" spans="2:9">
      <c r="B38" s="2358" t="s">
        <v>458</v>
      </c>
      <c r="C38" s="2361" t="s">
        <v>258</v>
      </c>
      <c r="D38" s="2362"/>
      <c r="E38" s="2322" t="s">
        <v>259</v>
      </c>
      <c r="F38" s="2358" t="s">
        <v>260</v>
      </c>
      <c r="G38" s="2363" t="s">
        <v>108</v>
      </c>
      <c r="H38" s="2364"/>
      <c r="I38" s="2355" t="s">
        <v>457</v>
      </c>
    </row>
    <row r="39" spans="2:9">
      <c r="B39" s="2359"/>
      <c r="C39" s="1272" t="s">
        <v>451</v>
      </c>
      <c r="D39" s="1353" t="s">
        <v>452</v>
      </c>
      <c r="E39" s="2353"/>
      <c r="F39" s="2359"/>
      <c r="G39" s="1354" t="s">
        <v>103</v>
      </c>
      <c r="H39" s="1343"/>
      <c r="I39" s="2356"/>
    </row>
    <row r="40" spans="2:9">
      <c r="B40" s="2359"/>
      <c r="C40" s="1272" t="s">
        <v>453</v>
      </c>
      <c r="D40" s="1353" t="s">
        <v>454</v>
      </c>
      <c r="E40" s="2353"/>
      <c r="F40" s="2359"/>
      <c r="G40" s="1354" t="s">
        <v>455</v>
      </c>
      <c r="H40" s="1343" t="s">
        <v>456</v>
      </c>
      <c r="I40" s="2356"/>
    </row>
    <row r="41" spans="2:9">
      <c r="B41" s="2360"/>
      <c r="C41" s="1355" t="s">
        <v>20</v>
      </c>
      <c r="D41" s="1336" t="s">
        <v>20</v>
      </c>
      <c r="E41" s="2354"/>
      <c r="F41" s="2360"/>
      <c r="G41" s="1356" t="s">
        <v>20</v>
      </c>
      <c r="H41" s="1344" t="s">
        <v>20</v>
      </c>
      <c r="I41" s="2357"/>
    </row>
    <row r="42" spans="2:9">
      <c r="C42" s="152"/>
      <c r="D42" s="152"/>
      <c r="E42" s="152"/>
      <c r="F42" s="152"/>
      <c r="G42" s="152"/>
      <c r="H42" s="152"/>
      <c r="I42" s="152"/>
    </row>
    <row r="43" spans="2:9">
      <c r="B43" s="238" t="str">
        <f>+B25</f>
        <v>Saldos al 1 de enero 2024</v>
      </c>
      <c r="C43" s="362">
        <f>+C53</f>
        <v>0</v>
      </c>
      <c r="D43" s="362">
        <f t="shared" ref="D43:H43" si="8">+D53</f>
        <v>0</v>
      </c>
      <c r="E43" s="362">
        <f t="shared" si="8"/>
        <v>0</v>
      </c>
      <c r="F43" s="362">
        <f t="shared" si="8"/>
        <v>0</v>
      </c>
      <c r="G43" s="362">
        <f t="shared" si="8"/>
        <v>0</v>
      </c>
      <c r="H43" s="362">
        <f t="shared" si="8"/>
        <v>0</v>
      </c>
      <c r="I43" s="362">
        <f>+SUM(C43:H43)</f>
        <v>0</v>
      </c>
    </row>
    <row r="44" spans="2:9">
      <c r="B44" s="188" t="s">
        <v>461</v>
      </c>
      <c r="C44" s="315"/>
      <c r="D44" s="315"/>
      <c r="E44" s="315"/>
      <c r="F44" s="315"/>
      <c r="G44" s="315"/>
      <c r="H44" s="315"/>
      <c r="I44" s="315">
        <f>+SUM(C44:H44)</f>
        <v>0</v>
      </c>
    </row>
    <row r="45" spans="2:9">
      <c r="B45" s="188" t="s">
        <v>460</v>
      </c>
      <c r="C45" s="315"/>
      <c r="D45" s="315"/>
      <c r="E45" s="315"/>
      <c r="F45" s="315"/>
      <c r="G45" s="315"/>
      <c r="H45" s="315"/>
      <c r="I45" s="315">
        <f t="shared" ref="I45:I46" si="9">+SUM(C45:H45)</f>
        <v>0</v>
      </c>
    </row>
    <row r="46" spans="2:9">
      <c r="B46" s="188" t="s">
        <v>459</v>
      </c>
      <c r="C46" s="315"/>
      <c r="D46" s="315"/>
      <c r="E46" s="315"/>
      <c r="F46" s="315"/>
      <c r="G46" s="315"/>
      <c r="H46" s="315"/>
      <c r="I46" s="315">
        <f t="shared" si="9"/>
        <v>0</v>
      </c>
    </row>
    <row r="47" spans="2:9">
      <c r="B47" s="1357">
        <f>+Datos!D6</f>
        <v>45657</v>
      </c>
      <c r="C47" s="1306">
        <f>+SUM(C43:C46)</f>
        <v>0</v>
      </c>
      <c r="D47" s="1306">
        <f t="shared" ref="D47:I47" si="10">+SUM(D43:D46)</f>
        <v>0</v>
      </c>
      <c r="E47" s="1306">
        <f t="shared" si="10"/>
        <v>0</v>
      </c>
      <c r="F47" s="1306">
        <f t="shared" si="10"/>
        <v>0</v>
      </c>
      <c r="G47" s="1306">
        <f t="shared" si="10"/>
        <v>0</v>
      </c>
      <c r="H47" s="1306">
        <f t="shared" si="10"/>
        <v>0</v>
      </c>
      <c r="I47" s="1245">
        <f t="shared" si="10"/>
        <v>0</v>
      </c>
    </row>
    <row r="48" spans="2:9">
      <c r="B48" s="188"/>
      <c r="C48" s="315"/>
      <c r="D48" s="315"/>
      <c r="E48" s="315"/>
      <c r="F48" s="315"/>
      <c r="G48" s="315"/>
      <c r="H48" s="315"/>
      <c r="I48" s="315"/>
    </row>
    <row r="49" spans="1:9">
      <c r="B49" s="238" t="str">
        <f>+B31</f>
        <v>Saldos al 1 de enero 2023</v>
      </c>
      <c r="C49" s="362"/>
      <c r="D49" s="362"/>
      <c r="E49" s="362"/>
      <c r="F49" s="362"/>
      <c r="G49" s="362"/>
      <c r="H49" s="362"/>
      <c r="I49" s="362">
        <f t="shared" ref="I49:I52" si="11">+SUM(C49:G49)</f>
        <v>0</v>
      </c>
    </row>
    <row r="50" spans="1:9">
      <c r="A50" s="45" t="s">
        <v>226</v>
      </c>
      <c r="B50" s="188" t="s">
        <v>461</v>
      </c>
      <c r="C50" s="315"/>
      <c r="D50" s="315"/>
      <c r="E50" s="315"/>
      <c r="F50" s="315"/>
      <c r="G50" s="315"/>
      <c r="H50" s="315"/>
      <c r="I50" s="315">
        <f t="shared" si="11"/>
        <v>0</v>
      </c>
    </row>
    <row r="51" spans="1:9">
      <c r="B51" s="188" t="s">
        <v>460</v>
      </c>
      <c r="C51" s="315"/>
      <c r="D51" s="315"/>
      <c r="E51" s="315"/>
      <c r="F51" s="315"/>
      <c r="G51" s="315"/>
      <c r="H51" s="315"/>
      <c r="I51" s="315">
        <f t="shared" si="11"/>
        <v>0</v>
      </c>
    </row>
    <row r="52" spans="1:9">
      <c r="B52" s="188" t="s">
        <v>459</v>
      </c>
      <c r="C52" s="315"/>
      <c r="D52" s="315"/>
      <c r="E52" s="315"/>
      <c r="F52" s="315"/>
      <c r="G52" s="315"/>
      <c r="H52" s="315"/>
      <c r="I52" s="315">
        <f t="shared" si="11"/>
        <v>0</v>
      </c>
    </row>
    <row r="53" spans="1:9">
      <c r="B53" s="461">
        <f>+B35</f>
        <v>45291</v>
      </c>
      <c r="C53" s="323">
        <f>+SUM(C49:C52)</f>
        <v>0</v>
      </c>
      <c r="D53" s="323">
        <f t="shared" ref="D53:H53" si="12">+SUM(D49:D52)</f>
        <v>0</v>
      </c>
      <c r="E53" s="323">
        <f t="shared" si="12"/>
        <v>0</v>
      </c>
      <c r="F53" s="323">
        <f t="shared" si="12"/>
        <v>0</v>
      </c>
      <c r="G53" s="323">
        <f t="shared" si="12"/>
        <v>0</v>
      </c>
      <c r="H53" s="323">
        <f t="shared" si="12"/>
        <v>0</v>
      </c>
      <c r="I53" s="366">
        <f>+SUM(I49:I52)</f>
        <v>0</v>
      </c>
    </row>
    <row r="54" spans="1:9">
      <c r="B54" s="61"/>
      <c r="C54" s="367"/>
      <c r="D54" s="367"/>
      <c r="E54" s="367"/>
      <c r="F54" s="367"/>
      <c r="G54" s="367"/>
      <c r="H54" s="367"/>
      <c r="I54" s="367"/>
    </row>
    <row r="55" spans="1:9">
      <c r="B55" s="188" t="s">
        <v>462</v>
      </c>
      <c r="C55" s="315"/>
      <c r="D55" s="315"/>
      <c r="E55" s="315"/>
      <c r="F55" s="315"/>
      <c r="G55" s="315"/>
      <c r="H55" s="315"/>
      <c r="I55" s="315"/>
    </row>
    <row r="56" spans="1:9">
      <c r="B56" s="188"/>
      <c r="C56" s="315"/>
      <c r="D56" s="315"/>
      <c r="E56" s="315"/>
      <c r="F56" s="315"/>
      <c r="G56" s="315"/>
      <c r="H56" s="315"/>
      <c r="I56" s="315"/>
    </row>
    <row r="57" spans="1:9">
      <c r="B57" s="1303" t="s">
        <v>1360</v>
      </c>
      <c r="C57" s="1306">
        <f>+C31+C49</f>
        <v>0</v>
      </c>
      <c r="D57" s="1306">
        <f t="shared" ref="D57:H57" si="13">+D31+D49</f>
        <v>0</v>
      </c>
      <c r="E57" s="1306">
        <f t="shared" si="13"/>
        <v>0</v>
      </c>
      <c r="F57" s="1306">
        <f t="shared" si="13"/>
        <v>0</v>
      </c>
      <c r="G57" s="1306">
        <f t="shared" si="13"/>
        <v>0</v>
      </c>
      <c r="H57" s="1306">
        <f t="shared" si="13"/>
        <v>0</v>
      </c>
      <c r="I57" s="1245">
        <f>+SUM(C57:H57)</f>
        <v>0</v>
      </c>
    </row>
    <row r="58" spans="1:9">
      <c r="B58" s="188"/>
      <c r="C58" s="315"/>
      <c r="D58" s="315"/>
      <c r="E58" s="315"/>
      <c r="F58" s="315"/>
      <c r="G58" s="315"/>
      <c r="H58" s="315"/>
      <c r="I58" s="315"/>
    </row>
    <row r="59" spans="1:9">
      <c r="B59" s="1303" t="s">
        <v>1361</v>
      </c>
      <c r="C59" s="1306">
        <f>+C35+C53</f>
        <v>0</v>
      </c>
      <c r="D59" s="1306">
        <f t="shared" ref="D59:H59" si="14">+D35+D53</f>
        <v>0</v>
      </c>
      <c r="E59" s="1306">
        <f t="shared" si="14"/>
        <v>0</v>
      </c>
      <c r="F59" s="1306">
        <f t="shared" si="14"/>
        <v>0</v>
      </c>
      <c r="G59" s="1306">
        <f t="shared" si="14"/>
        <v>0</v>
      </c>
      <c r="H59" s="1306">
        <f t="shared" si="14"/>
        <v>0</v>
      </c>
      <c r="I59" s="1245">
        <f>+SUM(C59:H59)</f>
        <v>0</v>
      </c>
    </row>
    <row r="60" spans="1:9">
      <c r="B60" s="188"/>
      <c r="C60" s="315"/>
      <c r="D60" s="315"/>
      <c r="E60" s="315"/>
      <c r="F60" s="315"/>
      <c r="G60" s="315"/>
      <c r="H60" s="315"/>
      <c r="I60" s="315"/>
    </row>
    <row r="61" spans="1:9">
      <c r="A61" s="1" t="s">
        <v>160</v>
      </c>
      <c r="B61" s="1358">
        <f>+Datos!D8</f>
        <v>45657</v>
      </c>
      <c r="C61" s="1306">
        <f>+C29+C47</f>
        <v>0</v>
      </c>
      <c r="D61" s="1306">
        <f t="shared" ref="D61:H61" si="15">+D29+D47</f>
        <v>0</v>
      </c>
      <c r="E61" s="1306">
        <f t="shared" si="15"/>
        <v>0</v>
      </c>
      <c r="F61" s="1306">
        <f t="shared" si="15"/>
        <v>0</v>
      </c>
      <c r="G61" s="1306">
        <f t="shared" si="15"/>
        <v>0</v>
      </c>
      <c r="H61" s="1306">
        <f t="shared" si="15"/>
        <v>0</v>
      </c>
      <c r="I61" s="1245">
        <f>+SUM(C61:H61)</f>
        <v>0</v>
      </c>
    </row>
  </sheetData>
  <sheetProtection formatCells="0" formatColumns="0" formatRows="0" insertColumns="0" insertRows="0" insertHyperlinks="0" deleteColumns="0" deleteRows="0"/>
  <mergeCells count="14">
    <mergeCell ref="E3:G3"/>
    <mergeCell ref="E4:G4"/>
    <mergeCell ref="B21:B24"/>
    <mergeCell ref="C21:D21"/>
    <mergeCell ref="E21:E24"/>
    <mergeCell ref="F21:F24"/>
    <mergeCell ref="G21:H21"/>
    <mergeCell ref="I21:I24"/>
    <mergeCell ref="B38:B41"/>
    <mergeCell ref="C38:D38"/>
    <mergeCell ref="E38:E41"/>
    <mergeCell ref="F38:F41"/>
    <mergeCell ref="G38:H38"/>
    <mergeCell ref="I38:I41"/>
  </mergeCells>
  <hyperlinks>
    <hyperlink ref="J1" location="'Est Situacion'!A1" display="Volver" xr:uid="{00000000-0004-0000-21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C8BF-16CD-4D68-AF9D-E5584B02988D}">
  <dimension ref="B1:G147"/>
  <sheetViews>
    <sheetView topLeftCell="A6" zoomScale="140" zoomScaleNormal="140" workbookViewId="0">
      <selection activeCell="C136" sqref="B136:G144"/>
    </sheetView>
  </sheetViews>
  <sheetFormatPr baseColWidth="10" defaultColWidth="10.86328125" defaultRowHeight="16.5"/>
  <cols>
    <col min="1" max="1" width="1.53125" style="709" customWidth="1"/>
    <col min="2" max="2" width="12.6640625" style="709" bestFit="1" customWidth="1"/>
    <col min="3" max="3" width="30.53125" style="709" customWidth="1"/>
    <col min="4" max="4" width="9" style="709" customWidth="1"/>
    <col min="5" max="5" width="28.796875" style="710" customWidth="1"/>
    <col min="6" max="6" width="18" style="711" customWidth="1"/>
    <col min="7" max="7" width="18" style="712" customWidth="1"/>
    <col min="8" max="16384" width="10.86328125" style="709"/>
  </cols>
  <sheetData>
    <row r="1" spans="2:7" ht="16.899999999999999" thickBot="1"/>
    <row r="2" spans="2:7" ht="16.899999999999999" thickBot="1">
      <c r="C2" s="2059" t="s">
        <v>1534</v>
      </c>
      <c r="D2" s="2060"/>
      <c r="E2" s="2060"/>
      <c r="F2" s="2060"/>
      <c r="G2" s="2061"/>
    </row>
    <row r="3" spans="2:7" ht="16.899999999999999" thickBot="1"/>
    <row r="4" spans="2:7" ht="16.899999999999999" thickBot="1">
      <c r="C4" s="713" t="s">
        <v>1052</v>
      </c>
      <c r="D4" s="714"/>
      <c r="E4" s="715" t="s">
        <v>1473</v>
      </c>
      <c r="F4" s="716" t="s">
        <v>1472</v>
      </c>
      <c r="G4" s="717" t="s">
        <v>935</v>
      </c>
    </row>
    <row r="5" spans="2:7" ht="16.899999999999999" thickBot="1">
      <c r="C5" s="709" t="str">
        <f>+'Analisis Inicial'!B14</f>
        <v xml:space="preserve">1-1-01-001 Caja </v>
      </c>
      <c r="E5" s="718">
        <f>+'Analisis Inicial'!C14</f>
        <v>50000000</v>
      </c>
      <c r="F5" s="719">
        <f>+'Analisis Inicial'!D14</f>
        <v>35000000</v>
      </c>
      <c r="G5" s="720">
        <f>+F5-E5</f>
        <v>-15000000</v>
      </c>
    </row>
    <row r="6" spans="2:7" ht="16.899999999999999" thickBot="1">
      <c r="E6" s="806"/>
      <c r="F6" s="1796"/>
      <c r="G6" s="805"/>
    </row>
    <row r="7" spans="2:7">
      <c r="B7" s="2062" t="str">
        <f>+'Analisis Inicial'!E14</f>
        <v>La diferencia de 15.000.000 se encuentra en el Banco Estado</v>
      </c>
      <c r="C7" s="2063"/>
      <c r="D7" s="2063"/>
      <c r="E7" s="2063"/>
      <c r="F7" s="2063"/>
      <c r="G7" s="2064"/>
    </row>
    <row r="8" spans="2:7" ht="16.899999999999999" thickBot="1">
      <c r="B8" s="2065"/>
      <c r="C8" s="2066"/>
      <c r="D8" s="2066"/>
      <c r="E8" s="2066"/>
      <c r="F8" s="2066"/>
      <c r="G8" s="2067"/>
    </row>
    <row r="9" spans="2:7" ht="16.899999999999999" thickBot="1"/>
    <row r="10" spans="2:7" ht="16.899999999999999" thickBot="1">
      <c r="B10" s="1492" t="s">
        <v>1055</v>
      </c>
      <c r="C10" s="2056" t="s">
        <v>1052</v>
      </c>
      <c r="D10" s="2057"/>
      <c r="E10" s="2058"/>
      <c r="F10" s="1493" t="s">
        <v>1056</v>
      </c>
      <c r="G10" s="1493" t="s">
        <v>1057</v>
      </c>
    </row>
    <row r="11" spans="2:7">
      <c r="B11" s="723" t="s">
        <v>1638</v>
      </c>
      <c r="C11" s="724" t="s">
        <v>1058</v>
      </c>
      <c r="D11" s="725">
        <v>1</v>
      </c>
      <c r="E11" s="726" t="s">
        <v>1058</v>
      </c>
      <c r="F11" s="727"/>
      <c r="G11" s="728"/>
    </row>
    <row r="12" spans="2:7">
      <c r="B12" s="723" t="s">
        <v>294</v>
      </c>
      <c r="C12" s="729" t="str">
        <f>+'Bce Clasificado 31.12.2024'!B19</f>
        <v>1-1-03-006 Bancos Estado</v>
      </c>
      <c r="E12" s="730"/>
      <c r="F12" s="799">
        <f>-G5</f>
        <v>15000000</v>
      </c>
      <c r="G12" s="799"/>
    </row>
    <row r="13" spans="2:7">
      <c r="B13" s="723" t="s">
        <v>294</v>
      </c>
      <c r="C13" s="729"/>
      <c r="D13" s="709" t="str">
        <f>+C5</f>
        <v xml:space="preserve">1-1-01-001 Caja </v>
      </c>
      <c r="E13" s="730"/>
      <c r="F13" s="799"/>
      <c r="G13" s="799">
        <f>+F12</f>
        <v>15000000</v>
      </c>
    </row>
    <row r="14" spans="2:7">
      <c r="B14" s="723"/>
      <c r="C14" s="729"/>
      <c r="E14" s="730"/>
      <c r="F14" s="727"/>
      <c r="G14" s="728"/>
    </row>
    <row r="15" spans="2:7" ht="16.899999999999999" thickBot="1">
      <c r="B15" s="731"/>
      <c r="C15" s="732" t="s">
        <v>1706</v>
      </c>
      <c r="D15" s="733"/>
      <c r="E15" s="734"/>
      <c r="F15" s="719"/>
      <c r="G15" s="720"/>
    </row>
    <row r="16" spans="2:7" ht="16.899999999999999" thickBot="1"/>
    <row r="17" spans="2:7" ht="16.899999999999999" thickBot="1">
      <c r="C17" s="713" t="s">
        <v>1052</v>
      </c>
      <c r="D17" s="714"/>
      <c r="E17" s="715" t="s">
        <v>1473</v>
      </c>
      <c r="F17" s="716" t="s">
        <v>1472</v>
      </c>
      <c r="G17" s="717" t="s">
        <v>935</v>
      </c>
    </row>
    <row r="18" spans="2:7" ht="16.899999999999999" thickBot="1">
      <c r="C18" s="709" t="str">
        <f>+'Analisis Inicial'!B16</f>
        <v>1-1-01-003 Fondo Fijo</v>
      </c>
      <c r="E18" s="718">
        <f>+'Bce Clasificado 31.12.2024'!D16</f>
        <v>1000000</v>
      </c>
      <c r="F18" s="719">
        <f>+'Analisis Inicial'!D16</f>
        <v>300000</v>
      </c>
      <c r="G18" s="720">
        <f>+F18-E18</f>
        <v>-700000</v>
      </c>
    </row>
    <row r="19" spans="2:7" ht="16.899999999999999" thickBot="1">
      <c r="E19" s="806"/>
      <c r="F19" s="1796"/>
      <c r="G19" s="805"/>
    </row>
    <row r="20" spans="2:7">
      <c r="B20" s="2062" t="str">
        <f>+'Analisis Inicial'!E16</f>
        <v>Diferencia gasto por  4-1-03-003 Servicios Básicos</v>
      </c>
      <c r="C20" s="2063"/>
      <c r="D20" s="2063"/>
      <c r="E20" s="2063"/>
      <c r="F20" s="2063"/>
      <c r="G20" s="2064"/>
    </row>
    <row r="21" spans="2:7" ht="16.899999999999999" thickBot="1">
      <c r="B21" s="2065"/>
      <c r="C21" s="2066"/>
      <c r="D21" s="2066"/>
      <c r="E21" s="2066"/>
      <c r="F21" s="2066"/>
      <c r="G21" s="2067"/>
    </row>
    <row r="22" spans="2:7">
      <c r="B22" s="1985"/>
      <c r="C22" s="1985"/>
      <c r="D22" s="1985"/>
      <c r="E22" s="1985"/>
      <c r="F22" s="1986" t="s">
        <v>294</v>
      </c>
      <c r="G22" s="1986" t="s">
        <v>295</v>
      </c>
    </row>
    <row r="23" spans="2:7" ht="16.899999999999999" thickBot="1">
      <c r="E23" s="806"/>
      <c r="F23" s="810" t="s">
        <v>1709</v>
      </c>
      <c r="G23" s="810" t="s">
        <v>81</v>
      </c>
    </row>
    <row r="24" spans="2:7" ht="16.899999999999999" thickBot="1">
      <c r="B24" s="1492" t="s">
        <v>1055</v>
      </c>
      <c r="C24" s="2056" t="s">
        <v>1052</v>
      </c>
      <c r="D24" s="2057"/>
      <c r="E24" s="2058"/>
      <c r="F24" s="1493" t="s">
        <v>1056</v>
      </c>
      <c r="G24" s="1493" t="s">
        <v>1057</v>
      </c>
    </row>
    <row r="25" spans="2:7">
      <c r="B25" s="723" t="s">
        <v>1638</v>
      </c>
      <c r="C25" s="724" t="s">
        <v>1058</v>
      </c>
      <c r="D25" s="725">
        <v>2</v>
      </c>
      <c r="E25" s="726" t="s">
        <v>1058</v>
      </c>
      <c r="F25" s="727"/>
      <c r="G25" s="728"/>
    </row>
    <row r="26" spans="2:7">
      <c r="B26" s="723" t="s">
        <v>1707</v>
      </c>
      <c r="C26" s="729" t="str">
        <f>+'Bce Clasificado 31.12.2024'!B151</f>
        <v>4-1-03-003 Servicios Básicos</v>
      </c>
      <c r="E26" s="730"/>
      <c r="F26" s="799">
        <f>+G27</f>
        <v>700000</v>
      </c>
      <c r="G26" s="799"/>
    </row>
    <row r="27" spans="2:7">
      <c r="B27" s="723" t="s">
        <v>294</v>
      </c>
      <c r="C27" s="729"/>
      <c r="D27" s="709" t="str">
        <f>+C18</f>
        <v>1-1-01-003 Fondo Fijo</v>
      </c>
      <c r="E27" s="730"/>
      <c r="F27" s="799"/>
      <c r="G27" s="799">
        <f>-G18</f>
        <v>700000</v>
      </c>
    </row>
    <row r="28" spans="2:7">
      <c r="B28" s="723"/>
      <c r="C28" s="729"/>
      <c r="E28" s="730"/>
      <c r="F28" s="727"/>
      <c r="G28" s="728"/>
    </row>
    <row r="29" spans="2:7" ht="16.899999999999999" thickBot="1">
      <c r="B29" s="731"/>
      <c r="C29" s="732" t="s">
        <v>1708</v>
      </c>
      <c r="D29" s="733"/>
      <c r="E29" s="734"/>
      <c r="F29" s="719"/>
      <c r="G29" s="720"/>
    </row>
    <row r="30" spans="2:7" ht="16.899999999999999" thickBot="1"/>
    <row r="31" spans="2:7" ht="16.899999999999999" thickBot="1">
      <c r="C31" s="713" t="s">
        <v>1052</v>
      </c>
      <c r="D31" s="714"/>
      <c r="E31" s="715" t="s">
        <v>1473</v>
      </c>
      <c r="F31" s="716" t="s">
        <v>1472</v>
      </c>
      <c r="G31" s="717" t="s">
        <v>935</v>
      </c>
    </row>
    <row r="32" spans="2:7" ht="16.899999999999999" thickBot="1">
      <c r="C32" s="709" t="str">
        <f>+'Bce Clasificado 31.12.2024'!B17</f>
        <v>1-1-03-002 Banco Santander</v>
      </c>
      <c r="E32" s="718">
        <f>+'Bce Clasificado 31.12.2024'!D17</f>
        <v>40000000</v>
      </c>
      <c r="F32" s="719">
        <f>+'Analisis Inicial'!D17</f>
        <v>15000000</v>
      </c>
      <c r="G32" s="720">
        <f>+F32-E32</f>
        <v>-25000000</v>
      </c>
    </row>
    <row r="33" spans="2:7" ht="16.899999999999999" thickBot="1">
      <c r="E33" s="806"/>
      <c r="F33" s="1796"/>
      <c r="G33" s="805"/>
    </row>
    <row r="34" spans="2:7">
      <c r="B34" s="2062" t="str">
        <f>+'Analisis Inicial'!E17</f>
        <v>La diferencia de 25.000.000 corresponde al pago de la linea de crédito no registrada</v>
      </c>
      <c r="C34" s="2063"/>
      <c r="D34" s="2063"/>
      <c r="E34" s="2063"/>
      <c r="F34" s="2063"/>
      <c r="G34" s="2064"/>
    </row>
    <row r="35" spans="2:7" ht="16.899999999999999" thickBot="1">
      <c r="B35" s="2065"/>
      <c r="C35" s="2066"/>
      <c r="D35" s="2066"/>
      <c r="E35" s="2066"/>
      <c r="F35" s="2066"/>
      <c r="G35" s="2067"/>
    </row>
    <row r="36" spans="2:7" ht="16.899999999999999" thickBot="1">
      <c r="E36" s="806"/>
      <c r="F36" s="1796"/>
      <c r="G36" s="805"/>
    </row>
    <row r="37" spans="2:7" ht="16.899999999999999" thickBot="1">
      <c r="B37" s="1492" t="s">
        <v>1055</v>
      </c>
      <c r="C37" s="2056" t="s">
        <v>1052</v>
      </c>
      <c r="D37" s="2057"/>
      <c r="E37" s="2058"/>
      <c r="F37" s="1493" t="s">
        <v>1056</v>
      </c>
      <c r="G37" s="1493" t="s">
        <v>1057</v>
      </c>
    </row>
    <row r="38" spans="2:7">
      <c r="B38" s="723" t="s">
        <v>1638</v>
      </c>
      <c r="C38" s="724" t="s">
        <v>1058</v>
      </c>
      <c r="D38" s="725">
        <v>3</v>
      </c>
      <c r="E38" s="726" t="s">
        <v>1058</v>
      </c>
      <c r="F38" s="727"/>
      <c r="G38" s="728"/>
    </row>
    <row r="39" spans="2:7">
      <c r="B39" s="723" t="s">
        <v>295</v>
      </c>
      <c r="C39" s="729" t="str">
        <f>+'Bce Clasificado 31.12.2024'!H15</f>
        <v>2-1-01-002 L.C. Operacional Banco Santander</v>
      </c>
      <c r="E39" s="730"/>
      <c r="F39" s="799">
        <f>+G40</f>
        <v>25000000</v>
      </c>
      <c r="G39" s="799"/>
    </row>
    <row r="40" spans="2:7">
      <c r="B40" s="723" t="s">
        <v>294</v>
      </c>
      <c r="C40" s="729"/>
      <c r="D40" s="709" t="str">
        <f>+C32</f>
        <v>1-1-03-002 Banco Santander</v>
      </c>
      <c r="E40" s="730"/>
      <c r="F40" s="799"/>
      <c r="G40" s="799">
        <f>-G32</f>
        <v>25000000</v>
      </c>
    </row>
    <row r="41" spans="2:7">
      <c r="B41" s="723"/>
      <c r="C41" s="729"/>
      <c r="E41" s="730"/>
      <c r="F41" s="727"/>
      <c r="G41" s="728"/>
    </row>
    <row r="42" spans="2:7" ht="16.899999999999999" thickBot="1">
      <c r="B42" s="731"/>
      <c r="C42" s="732" t="s">
        <v>1710</v>
      </c>
      <c r="D42" s="733"/>
      <c r="E42" s="734"/>
      <c r="F42" s="719"/>
      <c r="G42" s="720"/>
    </row>
    <row r="43" spans="2:7" ht="16.899999999999999" thickBot="1"/>
    <row r="44" spans="2:7" ht="16.899999999999999" thickBot="1">
      <c r="C44" s="713" t="s">
        <v>1052</v>
      </c>
      <c r="D44" s="714"/>
      <c r="E44" s="715" t="s">
        <v>1473</v>
      </c>
      <c r="F44" s="716" t="s">
        <v>1472</v>
      </c>
      <c r="G44" s="717" t="s">
        <v>935</v>
      </c>
    </row>
    <row r="45" spans="2:7" ht="16.899999999999999" thickBot="1">
      <c r="C45" s="709" t="str">
        <f>+'Bce Clasificado 31.12.2024'!B43</f>
        <v>1-1-09-005 Fondos por Rendir</v>
      </c>
      <c r="E45" s="718">
        <f>+'Bce Clasificado 31.12.2024'!D43</f>
        <v>40000000</v>
      </c>
      <c r="F45" s="719">
        <f>+'Analisis Inicial'!D43</f>
        <v>13000000</v>
      </c>
      <c r="G45" s="720">
        <f>+F45-E45</f>
        <v>-27000000</v>
      </c>
    </row>
    <row r="46" spans="2:7" ht="16.899999999999999" thickBot="1">
      <c r="E46" s="806"/>
      <c r="F46" s="1796"/>
      <c r="G46" s="805"/>
    </row>
    <row r="47" spans="2:7">
      <c r="B47" s="2062" t="str">
        <f>+'Analisis Inicial'!E43</f>
        <v>Diferencia corresponde gasto por  4-1-02-004 Movilización no registrado</v>
      </c>
      <c r="C47" s="2063"/>
      <c r="D47" s="2063"/>
      <c r="E47" s="2063"/>
      <c r="F47" s="2063"/>
      <c r="G47" s="2064"/>
    </row>
    <row r="48" spans="2:7" ht="16.899999999999999" thickBot="1">
      <c r="B48" s="2065"/>
      <c r="C48" s="2066"/>
      <c r="D48" s="2066"/>
      <c r="E48" s="2066"/>
      <c r="F48" s="2066"/>
      <c r="G48" s="2067"/>
    </row>
    <row r="49" spans="2:7" ht="16.899999999999999" thickBot="1">
      <c r="E49" s="806"/>
      <c r="F49" s="1796"/>
      <c r="G49" s="805"/>
    </row>
    <row r="50" spans="2:7" ht="16.899999999999999" thickBot="1">
      <c r="B50" s="1492" t="s">
        <v>1055</v>
      </c>
      <c r="C50" s="2056" t="s">
        <v>1052</v>
      </c>
      <c r="D50" s="2057"/>
      <c r="E50" s="2058"/>
      <c r="F50" s="1493" t="s">
        <v>1056</v>
      </c>
      <c r="G50" s="1493" t="s">
        <v>1057</v>
      </c>
    </row>
    <row r="51" spans="2:7">
      <c r="B51" s="723" t="s">
        <v>1638</v>
      </c>
      <c r="C51" s="724" t="s">
        <v>1058</v>
      </c>
      <c r="D51" s="725">
        <v>4</v>
      </c>
      <c r="E51" s="726" t="s">
        <v>1058</v>
      </c>
      <c r="F51" s="727"/>
      <c r="G51" s="728"/>
    </row>
    <row r="52" spans="2:7">
      <c r="B52" s="723" t="s">
        <v>1707</v>
      </c>
      <c r="C52" s="729" t="str">
        <f>+'Bce Clasificado 31.12.2024'!B162</f>
        <v>4-1-02-004 Movilización</v>
      </c>
      <c r="E52" s="730"/>
      <c r="F52" s="799">
        <f>+G53</f>
        <v>27000000</v>
      </c>
      <c r="G52" s="799"/>
    </row>
    <row r="53" spans="2:7">
      <c r="B53" s="723" t="s">
        <v>294</v>
      </c>
      <c r="C53" s="729"/>
      <c r="D53" s="709" t="str">
        <f>+C45</f>
        <v>1-1-09-005 Fondos por Rendir</v>
      </c>
      <c r="E53" s="730"/>
      <c r="F53" s="799"/>
      <c r="G53" s="799">
        <f>-G45</f>
        <v>27000000</v>
      </c>
    </row>
    <row r="54" spans="2:7">
      <c r="B54" s="723"/>
      <c r="C54" s="729"/>
      <c r="E54" s="730"/>
      <c r="F54" s="727"/>
      <c r="G54" s="728"/>
    </row>
    <row r="55" spans="2:7" ht="16.899999999999999" thickBot="1">
      <c r="B55" s="731"/>
      <c r="C55" s="732" t="s">
        <v>1710</v>
      </c>
      <c r="D55" s="733"/>
      <c r="E55" s="734"/>
      <c r="F55" s="719"/>
      <c r="G55" s="720"/>
    </row>
    <row r="56" spans="2:7" ht="16.899999999999999" thickBot="1"/>
    <row r="57" spans="2:7" ht="16.899999999999999" thickBot="1">
      <c r="C57" s="713" t="s">
        <v>1052</v>
      </c>
      <c r="D57" s="714"/>
      <c r="E57" s="715" t="s">
        <v>1473</v>
      </c>
      <c r="F57" s="716" t="s">
        <v>1472</v>
      </c>
      <c r="G57" s="717" t="s">
        <v>935</v>
      </c>
    </row>
    <row r="58" spans="2:7" ht="16.899999999999999" thickBot="1">
      <c r="C58" s="709" t="str">
        <f>+'Bce Clasificado 31.12.2024'!B44</f>
        <v>1-1-09-006 Clientes</v>
      </c>
      <c r="E58" s="718">
        <f>+'Bce Clasificado 31.12.2024'!D44</f>
        <v>300210000</v>
      </c>
      <c r="F58" s="719">
        <f>+'Analisis Inicial'!D44</f>
        <v>270210000</v>
      </c>
      <c r="G58" s="720">
        <f>+F58-E58</f>
        <v>-30000000</v>
      </c>
    </row>
    <row r="59" spans="2:7" ht="16.899999999999999" thickBot="1"/>
    <row r="60" spans="2:7">
      <c r="B60" s="2062" t="str">
        <f>+'Analisis Inicial'!E44</f>
        <v>Diferencia de años anteriores ajustar contra resultado acumulado</v>
      </c>
      <c r="C60" s="2063"/>
      <c r="D60" s="2063"/>
      <c r="E60" s="2063"/>
      <c r="F60" s="2063"/>
      <c r="G60" s="2064"/>
    </row>
    <row r="61" spans="2:7" ht="16.899999999999999" thickBot="1">
      <c r="B61" s="2065"/>
      <c r="C61" s="2066"/>
      <c r="D61" s="2066"/>
      <c r="E61" s="2066"/>
      <c r="F61" s="2066"/>
      <c r="G61" s="2067"/>
    </row>
    <row r="62" spans="2:7" ht="16.899999999999999" thickBot="1"/>
    <row r="63" spans="2:7" ht="16.899999999999999" thickBot="1">
      <c r="B63" s="1492" t="s">
        <v>1055</v>
      </c>
      <c r="C63" s="2056" t="s">
        <v>1052</v>
      </c>
      <c r="D63" s="2057"/>
      <c r="E63" s="2058"/>
      <c r="F63" s="1493" t="s">
        <v>1056</v>
      </c>
      <c r="G63" s="1493" t="s">
        <v>1057</v>
      </c>
    </row>
    <row r="64" spans="2:7">
      <c r="B64" s="723" t="s">
        <v>1638</v>
      </c>
      <c r="C64" s="724" t="s">
        <v>1058</v>
      </c>
      <c r="D64" s="725">
        <v>5</v>
      </c>
      <c r="E64" s="726" t="s">
        <v>1058</v>
      </c>
      <c r="F64" s="799"/>
      <c r="G64" s="799"/>
    </row>
    <row r="65" spans="2:7">
      <c r="B65" s="723" t="s">
        <v>39</v>
      </c>
      <c r="C65" s="729" t="str">
        <f>+'Bce Clasificado 31.12.2024'!H79</f>
        <v>2-3-01-003 Ganancias (pérdidas) acumuladas</v>
      </c>
      <c r="E65" s="730"/>
      <c r="F65" s="799">
        <f>+G66</f>
        <v>30000000</v>
      </c>
      <c r="G65" s="799"/>
    </row>
    <row r="66" spans="2:7">
      <c r="B66" s="723" t="s">
        <v>294</v>
      </c>
      <c r="C66" s="729"/>
      <c r="D66" s="709" t="str">
        <f>+C58</f>
        <v>1-1-09-006 Clientes</v>
      </c>
      <c r="E66" s="730"/>
      <c r="F66" s="799"/>
      <c r="G66" s="799">
        <f>-G58</f>
        <v>30000000</v>
      </c>
    </row>
    <row r="67" spans="2:7">
      <c r="B67" s="723"/>
      <c r="C67" s="729"/>
      <c r="E67" s="730"/>
      <c r="F67" s="727"/>
      <c r="G67" s="728"/>
    </row>
    <row r="68" spans="2:7" ht="16.899999999999999" thickBot="1">
      <c r="B68" s="731"/>
      <c r="C68" s="732" t="s">
        <v>1710</v>
      </c>
      <c r="D68" s="733"/>
      <c r="E68" s="734"/>
      <c r="F68" s="719"/>
      <c r="G68" s="720"/>
    </row>
    <row r="69" spans="2:7" ht="16.899999999999999" thickBot="1"/>
    <row r="70" spans="2:7" ht="16.899999999999999" thickBot="1">
      <c r="C70" s="713" t="s">
        <v>1052</v>
      </c>
      <c r="D70" s="714"/>
      <c r="E70" s="715" t="s">
        <v>1473</v>
      </c>
      <c r="F70" s="716" t="s">
        <v>1472</v>
      </c>
      <c r="G70" s="717" t="s">
        <v>935</v>
      </c>
    </row>
    <row r="71" spans="2:7" ht="16.899999999999999" thickBot="1">
      <c r="C71" s="709" t="str">
        <f>+'Bce Clasificado 31.12.2024'!H15</f>
        <v>2-1-01-002 L.C. Operacional Banco Santander</v>
      </c>
      <c r="E71" s="718">
        <v>15000000</v>
      </c>
      <c r="F71" s="719">
        <f>+'Analisis Inicial'!D113</f>
        <v>16000000</v>
      </c>
      <c r="G71" s="720">
        <f>+F71-E71</f>
        <v>1000000</v>
      </c>
    </row>
    <row r="72" spans="2:7" ht="16.899999999999999" thickBot="1"/>
    <row r="73" spans="2:7">
      <c r="B73" s="2062" t="str">
        <f>+'Analisis Inicial'!E113</f>
        <v>se debe registrar gasto por 4-1-10-001 Intereses Pagados por Préstamos</v>
      </c>
      <c r="C73" s="2063"/>
      <c r="D73" s="2063"/>
      <c r="E73" s="2063"/>
      <c r="F73" s="2063"/>
      <c r="G73" s="2064"/>
    </row>
    <row r="74" spans="2:7" ht="16.899999999999999" thickBot="1">
      <c r="B74" s="2065"/>
      <c r="C74" s="2066"/>
      <c r="D74" s="2066"/>
      <c r="E74" s="2066"/>
      <c r="F74" s="2066"/>
      <c r="G74" s="2067"/>
    </row>
    <row r="75" spans="2:7" ht="16.899999999999999" thickBot="1"/>
    <row r="76" spans="2:7" ht="16.899999999999999" thickBot="1">
      <c r="B76" s="1492" t="s">
        <v>1055</v>
      </c>
      <c r="C76" s="2056" t="s">
        <v>1052</v>
      </c>
      <c r="D76" s="2057"/>
      <c r="E76" s="2058"/>
      <c r="F76" s="1493" t="s">
        <v>1056</v>
      </c>
      <c r="G76" s="1493" t="s">
        <v>1057</v>
      </c>
    </row>
    <row r="77" spans="2:7">
      <c r="B77" s="723" t="s">
        <v>1638</v>
      </c>
      <c r="C77" s="724" t="s">
        <v>1058</v>
      </c>
      <c r="D77" s="725">
        <v>6</v>
      </c>
      <c r="E77" s="726" t="s">
        <v>1058</v>
      </c>
      <c r="F77" s="727"/>
      <c r="G77" s="728"/>
    </row>
    <row r="78" spans="2:7">
      <c r="B78" s="723" t="s">
        <v>1707</v>
      </c>
      <c r="C78" s="729" t="str">
        <f>+'Bce Clasificado 31.12.2024'!B193</f>
        <v>4-1-10-001 Intereses Pagados por Préstamos</v>
      </c>
      <c r="E78" s="730"/>
      <c r="F78" s="727">
        <f>+G71</f>
        <v>1000000</v>
      </c>
      <c r="G78" s="728"/>
    </row>
    <row r="79" spans="2:7">
      <c r="B79" s="723" t="s">
        <v>295</v>
      </c>
      <c r="C79" s="729"/>
      <c r="D79" s="709" t="str">
        <f>+C71</f>
        <v>2-1-01-002 L.C. Operacional Banco Santander</v>
      </c>
      <c r="E79" s="730"/>
      <c r="F79" s="727"/>
      <c r="G79" s="728">
        <f>+F78</f>
        <v>1000000</v>
      </c>
    </row>
    <row r="80" spans="2:7">
      <c r="B80" s="723"/>
      <c r="C80" s="729"/>
      <c r="E80" s="730"/>
      <c r="F80" s="727"/>
      <c r="G80" s="728"/>
    </row>
    <row r="81" spans="2:7" ht="16.899999999999999" thickBot="1">
      <c r="B81" s="731"/>
      <c r="C81" s="732" t="s">
        <v>1708</v>
      </c>
      <c r="D81" s="733"/>
      <c r="E81" s="734"/>
      <c r="F81" s="719"/>
      <c r="G81" s="720"/>
    </row>
    <row r="82" spans="2:7" ht="16.899999999999999" thickBot="1"/>
    <row r="83" spans="2:7" ht="16.899999999999999" thickBot="1">
      <c r="C83" s="713" t="s">
        <v>1052</v>
      </c>
      <c r="D83" s="714"/>
      <c r="E83" s="715" t="s">
        <v>1473</v>
      </c>
      <c r="F83" s="716" t="s">
        <v>1472</v>
      </c>
      <c r="G83" s="717" t="s">
        <v>935</v>
      </c>
    </row>
    <row r="84" spans="2:7" ht="16.899999999999999" thickBot="1">
      <c r="C84" s="709" t="str">
        <f>+'Analisis Inicial'!B119</f>
        <v>2-1-03-001 Acreedores</v>
      </c>
      <c r="E84" s="718">
        <f>+'Bce Clasificado 31.12.2024'!J21</f>
        <v>150000000</v>
      </c>
      <c r="F84" s="719">
        <f>+'Analisis Inicial'!D119</f>
        <v>40000000</v>
      </c>
      <c r="G84" s="720">
        <f>+F84-E84</f>
        <v>-110000000</v>
      </c>
    </row>
    <row r="85" spans="2:7" ht="16.899999999999999" thickBot="1"/>
    <row r="86" spans="2:7">
      <c r="B86" s="2062" t="str">
        <f>+'Analisis Inicial'!E119</f>
        <v>Diferencia de años anteriores ajustar contra resultado acumulado</v>
      </c>
      <c r="C86" s="2063"/>
      <c r="D86" s="2063"/>
      <c r="E86" s="2063"/>
      <c r="F86" s="2063"/>
      <c r="G86" s="2064"/>
    </row>
    <row r="87" spans="2:7" ht="16.899999999999999" thickBot="1">
      <c r="B87" s="2065"/>
      <c r="C87" s="2066"/>
      <c r="D87" s="2066"/>
      <c r="E87" s="2066"/>
      <c r="F87" s="2066"/>
      <c r="G87" s="2067"/>
    </row>
    <row r="88" spans="2:7" ht="16.899999999999999" thickBot="1"/>
    <row r="89" spans="2:7" ht="16.899999999999999" thickBot="1">
      <c r="B89" s="1492" t="s">
        <v>1055</v>
      </c>
      <c r="C89" s="2056" t="s">
        <v>1052</v>
      </c>
      <c r="D89" s="2057"/>
      <c r="E89" s="2058"/>
      <c r="F89" s="1493" t="s">
        <v>1056</v>
      </c>
      <c r="G89" s="1493" t="s">
        <v>1057</v>
      </c>
    </row>
    <row r="90" spans="2:7">
      <c r="B90" s="723" t="s">
        <v>1638</v>
      </c>
      <c r="C90" s="724" t="s">
        <v>1058</v>
      </c>
      <c r="D90" s="725">
        <v>7</v>
      </c>
      <c r="E90" s="726" t="s">
        <v>1058</v>
      </c>
      <c r="F90" s="727"/>
      <c r="G90" s="728"/>
    </row>
    <row r="91" spans="2:7">
      <c r="B91" s="723" t="s">
        <v>295</v>
      </c>
      <c r="C91" s="729" t="str">
        <f>+C84</f>
        <v>2-1-03-001 Acreedores</v>
      </c>
      <c r="E91" s="730"/>
      <c r="F91" s="799">
        <f>-G84</f>
        <v>110000000</v>
      </c>
      <c r="G91" s="799"/>
    </row>
    <row r="92" spans="2:7">
      <c r="B92" s="723" t="s">
        <v>39</v>
      </c>
      <c r="C92" s="729"/>
      <c r="D92" s="709" t="str">
        <f>+'Bce Clasificado 31.12.2024'!H79</f>
        <v>2-3-01-003 Ganancias (pérdidas) acumuladas</v>
      </c>
      <c r="E92" s="730"/>
      <c r="F92" s="799"/>
      <c r="G92" s="799">
        <f>+F91</f>
        <v>110000000</v>
      </c>
    </row>
    <row r="93" spans="2:7">
      <c r="B93" s="723"/>
      <c r="C93" s="729"/>
      <c r="E93" s="730"/>
      <c r="F93" s="799"/>
      <c r="G93" s="799"/>
    </row>
    <row r="94" spans="2:7" ht="16.899999999999999" thickBot="1">
      <c r="B94" s="731"/>
      <c r="C94" s="732" t="s">
        <v>1710</v>
      </c>
      <c r="D94" s="733"/>
      <c r="E94" s="734"/>
      <c r="F94" s="719"/>
      <c r="G94" s="720"/>
    </row>
    <row r="95" spans="2:7" ht="16.899999999999999" thickBot="1"/>
    <row r="96" spans="2:7" ht="16.899999999999999" thickBot="1">
      <c r="C96" s="713" t="s">
        <v>1052</v>
      </c>
      <c r="D96" s="714"/>
      <c r="E96" s="715" t="s">
        <v>1473</v>
      </c>
      <c r="F96" s="716" t="s">
        <v>1472</v>
      </c>
      <c r="G96" s="717" t="s">
        <v>935</v>
      </c>
    </row>
    <row r="97" spans="2:7" ht="16.899999999999999" thickBot="1">
      <c r="C97" s="709" t="str">
        <f>+'Bce Clasificado 31.12.2024'!H22</f>
        <v>2-1-03-002 Proveedores</v>
      </c>
      <c r="E97" s="718">
        <f>+'Bce Clasificado 31.12.2024'!J22</f>
        <v>300000000</v>
      </c>
      <c r="F97" s="719">
        <f>+'Analisis Inicial'!D120</f>
        <v>120000000</v>
      </c>
      <c r="G97" s="720">
        <f>+F97-E97</f>
        <v>-180000000</v>
      </c>
    </row>
    <row r="98" spans="2:7" ht="16.899999999999999" thickBot="1"/>
    <row r="99" spans="2:7">
      <c r="B99" s="2062" t="str">
        <f>+'Analisis Inicial'!E120</f>
        <v>Diferencia de años anteriores ajustar contra resultado acumulado</v>
      </c>
      <c r="C99" s="2063"/>
      <c r="D99" s="2063"/>
      <c r="E99" s="2063"/>
      <c r="F99" s="2063"/>
      <c r="G99" s="2064"/>
    </row>
    <row r="100" spans="2:7" ht="16.899999999999999" thickBot="1">
      <c r="B100" s="2065"/>
      <c r="C100" s="2066"/>
      <c r="D100" s="2066"/>
      <c r="E100" s="2066"/>
      <c r="F100" s="2066"/>
      <c r="G100" s="2067"/>
    </row>
    <row r="101" spans="2:7" ht="16.899999999999999" thickBot="1"/>
    <row r="102" spans="2:7" ht="16.899999999999999" thickBot="1">
      <c r="B102" s="1492" t="s">
        <v>1055</v>
      </c>
      <c r="C102" s="2056" t="s">
        <v>1052</v>
      </c>
      <c r="D102" s="2057"/>
      <c r="E102" s="2058"/>
      <c r="F102" s="1493" t="s">
        <v>1056</v>
      </c>
      <c r="G102" s="1493" t="s">
        <v>1057</v>
      </c>
    </row>
    <row r="103" spans="2:7">
      <c r="B103" s="723" t="s">
        <v>1638</v>
      </c>
      <c r="C103" s="724" t="s">
        <v>1058</v>
      </c>
      <c r="D103" s="725">
        <v>8</v>
      </c>
      <c r="E103" s="726" t="s">
        <v>1058</v>
      </c>
      <c r="F103" s="727"/>
      <c r="G103" s="728"/>
    </row>
    <row r="104" spans="2:7">
      <c r="B104" s="723" t="s">
        <v>295</v>
      </c>
      <c r="C104" s="729" t="str">
        <f>+C97</f>
        <v>2-1-03-002 Proveedores</v>
      </c>
      <c r="E104" s="730"/>
      <c r="F104" s="727">
        <f>-G97</f>
        <v>180000000</v>
      </c>
      <c r="G104" s="728"/>
    </row>
    <row r="105" spans="2:7">
      <c r="B105" s="723" t="s">
        <v>39</v>
      </c>
      <c r="C105" s="729"/>
      <c r="D105" s="709" t="str">
        <f>+'Bce Clasificado 31.12.2024'!H79</f>
        <v>2-3-01-003 Ganancias (pérdidas) acumuladas</v>
      </c>
      <c r="E105" s="730"/>
      <c r="F105" s="727"/>
      <c r="G105" s="728">
        <f>+F104</f>
        <v>180000000</v>
      </c>
    </row>
    <row r="106" spans="2:7">
      <c r="B106" s="723"/>
      <c r="C106" s="729"/>
      <c r="E106" s="730"/>
      <c r="F106" s="727"/>
      <c r="G106" s="728"/>
    </row>
    <row r="107" spans="2:7" ht="16.899999999999999" thickBot="1">
      <c r="B107" s="731"/>
      <c r="C107" s="732" t="s">
        <v>1710</v>
      </c>
      <c r="D107" s="733"/>
      <c r="E107" s="734"/>
      <c r="F107" s="719"/>
      <c r="G107" s="720"/>
    </row>
    <row r="108" spans="2:7" ht="16.899999999999999" thickBot="1"/>
    <row r="109" spans="2:7" ht="16.899999999999999" thickBot="1">
      <c r="C109" s="713" t="s">
        <v>1052</v>
      </c>
      <c r="D109" s="714"/>
      <c r="E109" s="715" t="s">
        <v>1473</v>
      </c>
      <c r="F109" s="716" t="s">
        <v>1472</v>
      </c>
      <c r="G109" s="717" t="s">
        <v>935</v>
      </c>
    </row>
    <row r="110" spans="2:7" ht="16.899999999999999" thickBot="1">
      <c r="C110" s="709" t="str">
        <f>+'Bce Clasificado 31.12.2024'!H27</f>
        <v>2-1-04-001 Provisión de Vacaciones</v>
      </c>
      <c r="E110" s="718">
        <f>+'Bce Clasificado 31.12.2024'!J27</f>
        <v>35000000</v>
      </c>
      <c r="F110" s="719">
        <f>+'Analisis Inicial'!D125</f>
        <v>42000000</v>
      </c>
      <c r="G110" s="720">
        <f>+F110-E110</f>
        <v>7000000</v>
      </c>
    </row>
    <row r="111" spans="2:7" ht="16.899999999999999" thickBot="1">
      <c r="E111" s="806"/>
      <c r="F111" s="1796"/>
      <c r="G111" s="805"/>
    </row>
    <row r="112" spans="2:7">
      <c r="B112" s="2062" t="str">
        <f>+'Analisis Inicial'!E125</f>
        <v>Diferencia corresponde gasto por  4-1-02-006 Vacaciones</v>
      </c>
      <c r="C112" s="2063"/>
      <c r="D112" s="2063"/>
      <c r="E112" s="2063"/>
      <c r="F112" s="2063"/>
      <c r="G112" s="2064"/>
    </row>
    <row r="113" spans="2:7" ht="16.899999999999999" thickBot="1">
      <c r="B113" s="2065"/>
      <c r="C113" s="2066"/>
      <c r="D113" s="2066"/>
      <c r="E113" s="2066"/>
      <c r="F113" s="2066"/>
      <c r="G113" s="2067"/>
    </row>
    <row r="114" spans="2:7" ht="16.899999999999999" thickBot="1">
      <c r="E114" s="806"/>
      <c r="F114" s="1796"/>
      <c r="G114" s="805"/>
    </row>
    <row r="115" spans="2:7" ht="16.899999999999999" thickBot="1">
      <c r="B115" s="1492" t="s">
        <v>1055</v>
      </c>
      <c r="C115" s="2056" t="s">
        <v>1052</v>
      </c>
      <c r="D115" s="2057"/>
      <c r="E115" s="2058"/>
      <c r="F115" s="1493" t="s">
        <v>1056</v>
      </c>
      <c r="G115" s="1493" t="s">
        <v>1057</v>
      </c>
    </row>
    <row r="116" spans="2:7">
      <c r="B116" s="723" t="s">
        <v>1638</v>
      </c>
      <c r="C116" s="865" t="s">
        <v>1058</v>
      </c>
      <c r="D116" s="1056">
        <v>9</v>
      </c>
      <c r="E116" s="1057" t="s">
        <v>1058</v>
      </c>
      <c r="F116" s="727"/>
      <c r="G116" s="728"/>
    </row>
    <row r="117" spans="2:7">
      <c r="B117" s="723" t="s">
        <v>1707</v>
      </c>
      <c r="C117" s="729" t="str">
        <f>+'Bce Clasificado 31.12.2024'!B164</f>
        <v>4-1-02-006 Vacaciones</v>
      </c>
      <c r="E117" s="730"/>
      <c r="F117" s="799">
        <f>+G110</f>
        <v>7000000</v>
      </c>
      <c r="G117" s="799"/>
    </row>
    <row r="118" spans="2:7">
      <c r="B118" s="723" t="s">
        <v>295</v>
      </c>
      <c r="C118" s="729"/>
      <c r="D118" s="709" t="str">
        <f>+C110</f>
        <v>2-1-04-001 Provisión de Vacaciones</v>
      </c>
      <c r="E118" s="730"/>
      <c r="F118" s="799"/>
      <c r="G118" s="799">
        <f>+F117</f>
        <v>7000000</v>
      </c>
    </row>
    <row r="119" spans="2:7">
      <c r="B119" s="723"/>
      <c r="C119" s="729"/>
      <c r="E119" s="730"/>
      <c r="F119" s="727"/>
      <c r="G119" s="728"/>
    </row>
    <row r="120" spans="2:7" ht="16.899999999999999" thickBot="1">
      <c r="B120" s="731"/>
      <c r="C120" s="732" t="s">
        <v>1706</v>
      </c>
      <c r="D120" s="733"/>
      <c r="E120" s="734"/>
      <c r="F120" s="719"/>
      <c r="G120" s="720"/>
    </row>
    <row r="121" spans="2:7" ht="16.899999999999999" thickBot="1"/>
    <row r="122" spans="2:7" ht="16.899999999999999" thickBot="1">
      <c r="C122" s="713" t="s">
        <v>1052</v>
      </c>
      <c r="D122" s="714"/>
      <c r="E122" s="715" t="s">
        <v>1473</v>
      </c>
      <c r="F122" s="716" t="s">
        <v>1472</v>
      </c>
      <c r="G122" s="717" t="s">
        <v>935</v>
      </c>
    </row>
    <row r="123" spans="2:7" ht="16.899999999999999" thickBot="1">
      <c r="C123" s="709" t="str">
        <f>+'Bce Clasificado 31.12.2024'!H71</f>
        <v>2-3-01-002 Revalorización Capital Propio</v>
      </c>
      <c r="E123" s="718">
        <f>+'Bce Clasificado 31.12.2024'!J71</f>
        <v>250000000</v>
      </c>
      <c r="F123" s="719">
        <f>+E123-G123</f>
        <v>218500000</v>
      </c>
      <c r="G123" s="720">
        <v>31500000</v>
      </c>
    </row>
    <row r="124" spans="2:7" ht="16.899999999999999" thickBot="1"/>
    <row r="125" spans="2:7">
      <c r="B125" s="2062" t="str">
        <f>+'Analisis Inicial'!E143</f>
        <v>31.500.000 ajustar</v>
      </c>
      <c r="C125" s="2063"/>
      <c r="D125" s="2063"/>
      <c r="E125" s="2063"/>
      <c r="F125" s="2063"/>
      <c r="G125" s="2064"/>
    </row>
    <row r="126" spans="2:7" ht="16.899999999999999" thickBot="1">
      <c r="B126" s="2065"/>
      <c r="C126" s="2066"/>
      <c r="D126" s="2066"/>
      <c r="E126" s="2066"/>
      <c r="F126" s="2066"/>
      <c r="G126" s="2067"/>
    </row>
    <row r="127" spans="2:7" ht="16.899999999999999" thickBot="1"/>
    <row r="128" spans="2:7" ht="16.899999999999999" thickBot="1">
      <c r="B128" s="1492" t="s">
        <v>1055</v>
      </c>
      <c r="C128" s="2056" t="s">
        <v>1052</v>
      </c>
      <c r="D128" s="2057"/>
      <c r="E128" s="2058"/>
      <c r="F128" s="1493" t="s">
        <v>1056</v>
      </c>
      <c r="G128" s="1493" t="s">
        <v>1057</v>
      </c>
    </row>
    <row r="129" spans="2:7">
      <c r="B129" s="723" t="s">
        <v>1638</v>
      </c>
      <c r="C129" s="724" t="s">
        <v>1058</v>
      </c>
      <c r="D129" s="725">
        <v>10</v>
      </c>
      <c r="E129" s="726" t="s">
        <v>1058</v>
      </c>
      <c r="F129" s="727"/>
      <c r="G129" s="728"/>
    </row>
    <row r="130" spans="2:7">
      <c r="B130" s="723" t="s">
        <v>295</v>
      </c>
      <c r="C130" s="729" t="str">
        <f>+C123</f>
        <v>2-3-01-002 Revalorización Capital Propio</v>
      </c>
      <c r="E130" s="730"/>
      <c r="F130" s="799">
        <f>+G123</f>
        <v>31500000</v>
      </c>
      <c r="G130" s="799"/>
    </row>
    <row r="131" spans="2:7">
      <c r="B131" s="723" t="s">
        <v>445</v>
      </c>
      <c r="C131" s="729"/>
      <c r="D131" s="709" t="str">
        <f>+'Bce Clasificado 31.12.2024'!B202</f>
        <v>4-1-12-009 Corrección Monetaria Patrimonio</v>
      </c>
      <c r="E131" s="730"/>
      <c r="F131" s="799"/>
      <c r="G131" s="799">
        <f>+F130</f>
        <v>31500000</v>
      </c>
    </row>
    <row r="132" spans="2:7">
      <c r="B132" s="723"/>
      <c r="C132" s="729"/>
      <c r="E132" s="730"/>
      <c r="F132" s="727"/>
      <c r="G132" s="728"/>
    </row>
    <row r="133" spans="2:7" ht="16.899999999999999" thickBot="1">
      <c r="B133" s="731"/>
      <c r="C133" s="732" t="s">
        <v>1710</v>
      </c>
      <c r="D133" s="733"/>
      <c r="E133" s="734"/>
      <c r="F133" s="719"/>
      <c r="G133" s="720"/>
    </row>
    <row r="135" spans="2:7" ht="16.899999999999999" thickBot="1"/>
    <row r="136" spans="2:7" ht="16.899999999999999" thickBot="1">
      <c r="C136" s="713" t="s">
        <v>1052</v>
      </c>
      <c r="D136" s="714"/>
      <c r="E136" s="715" t="s">
        <v>1473</v>
      </c>
      <c r="F136" s="716" t="s">
        <v>1472</v>
      </c>
      <c r="G136" s="717" t="s">
        <v>935</v>
      </c>
    </row>
    <row r="137" spans="2:7" ht="16.899999999999999" thickBot="1">
      <c r="E137" s="718"/>
      <c r="F137" s="719"/>
      <c r="G137" s="720"/>
    </row>
    <row r="138" spans="2:7" ht="16.899999999999999" thickBot="1"/>
    <row r="139" spans="2:7">
      <c r="B139" s="2062"/>
      <c r="C139" s="2063"/>
      <c r="D139" s="2063"/>
      <c r="E139" s="2063"/>
      <c r="F139" s="2063"/>
      <c r="G139" s="2064"/>
    </row>
    <row r="140" spans="2:7" ht="16.899999999999999" thickBot="1">
      <c r="B140" s="2065"/>
      <c r="C140" s="2066"/>
      <c r="D140" s="2066"/>
      <c r="E140" s="2066"/>
      <c r="F140" s="2066"/>
      <c r="G140" s="2067"/>
    </row>
    <row r="141" spans="2:7" ht="16.899999999999999" thickBot="1"/>
    <row r="142" spans="2:7" ht="16.899999999999999" thickBot="1">
      <c r="B142" s="1492" t="s">
        <v>1055</v>
      </c>
      <c r="C142" s="2056" t="s">
        <v>1052</v>
      </c>
      <c r="D142" s="2057"/>
      <c r="E142" s="2058"/>
      <c r="F142" s="1493" t="s">
        <v>1056</v>
      </c>
      <c r="G142" s="1493" t="s">
        <v>1057</v>
      </c>
    </row>
    <row r="143" spans="2:7">
      <c r="B143" s="723"/>
      <c r="C143" s="724" t="s">
        <v>1058</v>
      </c>
      <c r="D143" s="725">
        <v>11</v>
      </c>
      <c r="E143" s="726" t="s">
        <v>1058</v>
      </c>
      <c r="F143" s="727"/>
      <c r="G143" s="728"/>
    </row>
    <row r="144" spans="2:7">
      <c r="B144" s="723"/>
      <c r="C144" s="729"/>
      <c r="E144" s="730"/>
      <c r="F144" s="727"/>
      <c r="G144" s="728"/>
    </row>
    <row r="145" spans="2:7">
      <c r="B145" s="723"/>
      <c r="C145" s="729"/>
      <c r="E145" s="730"/>
      <c r="F145" s="727"/>
      <c r="G145" s="728"/>
    </row>
    <row r="146" spans="2:7">
      <c r="B146" s="723"/>
      <c r="C146" s="729"/>
      <c r="E146" s="730"/>
      <c r="F146" s="727"/>
      <c r="G146" s="728"/>
    </row>
    <row r="147" spans="2:7" ht="16.899999999999999" thickBot="1">
      <c r="B147" s="731"/>
      <c r="C147" s="732" t="s">
        <v>1059</v>
      </c>
      <c r="D147" s="733"/>
      <c r="E147" s="734"/>
      <c r="F147" s="719"/>
      <c r="G147" s="720"/>
    </row>
  </sheetData>
  <mergeCells count="23">
    <mergeCell ref="B139:G140"/>
    <mergeCell ref="C142:E142"/>
    <mergeCell ref="B73:G74"/>
    <mergeCell ref="B86:G87"/>
    <mergeCell ref="B99:G100"/>
    <mergeCell ref="B112:G113"/>
    <mergeCell ref="B125:G126"/>
    <mergeCell ref="C128:E128"/>
    <mergeCell ref="C76:E76"/>
    <mergeCell ref="C89:E89"/>
    <mergeCell ref="C102:E102"/>
    <mergeCell ref="C115:E115"/>
    <mergeCell ref="C63:E63"/>
    <mergeCell ref="C2:G2"/>
    <mergeCell ref="C10:E10"/>
    <mergeCell ref="C24:E24"/>
    <mergeCell ref="C37:E37"/>
    <mergeCell ref="C50:E50"/>
    <mergeCell ref="B7:G8"/>
    <mergeCell ref="B20:G21"/>
    <mergeCell ref="B34:G35"/>
    <mergeCell ref="B47:G48"/>
    <mergeCell ref="B60:G61"/>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7"/>
  <dimension ref="A1:G26"/>
  <sheetViews>
    <sheetView showGridLines="0" workbookViewId="0">
      <selection activeCell="G17" sqref="G17"/>
    </sheetView>
  </sheetViews>
  <sheetFormatPr baseColWidth="10" defaultRowHeight="14.25"/>
  <cols>
    <col min="1" max="1" width="11.46484375" style="28"/>
    <col min="2" max="2" width="33.46484375" style="28" customWidth="1"/>
    <col min="3" max="6" width="11.46484375" style="28" customWidth="1"/>
    <col min="7" max="7" width="12.19921875" style="28" customWidth="1"/>
  </cols>
  <sheetData>
    <row r="1" spans="2:7">
      <c r="D1" s="56" t="s">
        <v>417</v>
      </c>
    </row>
    <row r="2" spans="2:7">
      <c r="B2" s="82" t="s">
        <v>578</v>
      </c>
      <c r="C2" s="83"/>
      <c r="D2" s="83"/>
      <c r="E2" s="83"/>
      <c r="F2" s="83"/>
      <c r="G2" s="83"/>
    </row>
    <row r="3" spans="2:7">
      <c r="B3" s="83"/>
      <c r="C3" s="83"/>
      <c r="D3" s="83"/>
      <c r="E3" s="83"/>
      <c r="F3" s="83"/>
      <c r="G3" s="83"/>
    </row>
    <row r="4" spans="2:7">
      <c r="B4" s="84" t="s">
        <v>579</v>
      </c>
      <c r="C4" s="83"/>
      <c r="D4" s="83"/>
      <c r="E4" s="83"/>
      <c r="F4" s="83"/>
      <c r="G4" s="83"/>
    </row>
    <row r="5" spans="2:7">
      <c r="B5" s="37"/>
      <c r="C5" s="37"/>
      <c r="D5" s="37"/>
      <c r="E5" s="37"/>
      <c r="F5" s="37"/>
      <c r="G5" s="37"/>
    </row>
    <row r="6" spans="2:7">
      <c r="B6" s="1359" t="s">
        <v>207</v>
      </c>
      <c r="C6" s="1360" t="s">
        <v>731</v>
      </c>
      <c r="D6" s="1360" t="s">
        <v>265</v>
      </c>
      <c r="E6" s="1360" t="s">
        <v>580</v>
      </c>
      <c r="F6" s="1360" t="s">
        <v>103</v>
      </c>
      <c r="G6" s="1361" t="s">
        <v>731</v>
      </c>
    </row>
    <row r="7" spans="2:7">
      <c r="B7" s="1362"/>
      <c r="C7" s="1324">
        <v>44197</v>
      </c>
      <c r="D7" s="1363"/>
      <c r="E7" s="1363"/>
      <c r="F7" s="1363"/>
      <c r="G7" s="1364">
        <f>+Datos!D6</f>
        <v>45657</v>
      </c>
    </row>
    <row r="8" spans="2:7">
      <c r="B8" s="1365"/>
      <c r="C8" s="1365" t="s">
        <v>20</v>
      </c>
      <c r="D8" s="1365" t="s">
        <v>20</v>
      </c>
      <c r="E8" s="1365" t="s">
        <v>20</v>
      </c>
      <c r="F8" s="1365" t="s">
        <v>20</v>
      </c>
      <c r="G8" s="1366" t="s">
        <v>20</v>
      </c>
    </row>
    <row r="9" spans="2:7">
      <c r="B9" s="85"/>
      <c r="C9" s="370"/>
      <c r="D9" s="370"/>
      <c r="E9" s="370"/>
      <c r="F9" s="370"/>
      <c r="G9" s="371">
        <f>+SUM(C9:F9)</f>
        <v>0</v>
      </c>
    </row>
    <row r="10" spans="2:7">
      <c r="B10" s="85"/>
      <c r="C10" s="370"/>
      <c r="D10" s="370"/>
      <c r="E10" s="370"/>
      <c r="F10" s="370"/>
      <c r="G10" s="372">
        <f t="shared" ref="G10:G12" si="0">+SUM(C10:F10)</f>
        <v>0</v>
      </c>
    </row>
    <row r="11" spans="2:7">
      <c r="B11" s="85"/>
      <c r="C11" s="370"/>
      <c r="D11" s="370"/>
      <c r="E11" s="370"/>
      <c r="F11" s="370"/>
      <c r="G11" s="372">
        <f t="shared" si="0"/>
        <v>0</v>
      </c>
    </row>
    <row r="12" spans="2:7" ht="14.65" thickBot="1">
      <c r="B12" s="87"/>
      <c r="C12" s="370"/>
      <c r="D12" s="370"/>
      <c r="E12" s="370"/>
      <c r="F12" s="370"/>
      <c r="G12" s="372">
        <f t="shared" si="0"/>
        <v>0</v>
      </c>
    </row>
    <row r="13" spans="2:7" ht="14.65" thickBot="1">
      <c r="B13" s="1367">
        <f>+Datos!D6</f>
        <v>45657</v>
      </c>
      <c r="C13" s="1368">
        <f>+SUM(C9:C12)</f>
        <v>0</v>
      </c>
      <c r="D13" s="1369">
        <f t="shared" ref="D13:G13" si="1">+SUM(D9:D12)</f>
        <v>0</v>
      </c>
      <c r="E13" s="1369">
        <f t="shared" si="1"/>
        <v>0</v>
      </c>
      <c r="F13" s="1369">
        <f t="shared" si="1"/>
        <v>0</v>
      </c>
      <c r="G13" s="1370">
        <f t="shared" si="1"/>
        <v>0</v>
      </c>
    </row>
    <row r="14" spans="2:7">
      <c r="B14" s="83"/>
      <c r="C14" s="86"/>
      <c r="D14" s="86"/>
      <c r="E14" s="86"/>
      <c r="F14" s="86"/>
      <c r="G14" s="86"/>
    </row>
    <row r="15" spans="2:7">
      <c r="B15" s="89" t="s">
        <v>289</v>
      </c>
      <c r="C15" s="90"/>
      <c r="D15" s="90"/>
      <c r="E15" s="90"/>
      <c r="F15" s="90"/>
      <c r="G15" s="91">
        <f>+G13-'Est Situacion'!G32</f>
        <v>0</v>
      </c>
    </row>
    <row r="16" spans="2:7">
      <c r="B16" s="83"/>
      <c r="C16" s="86"/>
      <c r="D16" s="86"/>
      <c r="E16" s="86"/>
      <c r="F16" s="86"/>
      <c r="G16" s="86"/>
    </row>
    <row r="17" spans="2:7">
      <c r="B17" s="1359" t="s">
        <v>207</v>
      </c>
      <c r="C17" s="1360" t="s">
        <v>731</v>
      </c>
      <c r="D17" s="1360" t="s">
        <v>265</v>
      </c>
      <c r="E17" s="1360" t="s">
        <v>580</v>
      </c>
      <c r="F17" s="1360" t="s">
        <v>103</v>
      </c>
      <c r="G17" s="1361" t="s">
        <v>127</v>
      </c>
    </row>
    <row r="18" spans="2:7">
      <c r="B18" s="1362"/>
      <c r="C18" s="1324">
        <v>43831</v>
      </c>
      <c r="D18" s="1363"/>
      <c r="E18" s="1363"/>
      <c r="F18" s="1363"/>
      <c r="G18" s="1364">
        <f>+Datos!E6</f>
        <v>45291</v>
      </c>
    </row>
    <row r="19" spans="2:7">
      <c r="B19" s="1365"/>
      <c r="C19" s="1365" t="s">
        <v>20</v>
      </c>
      <c r="D19" s="1365" t="s">
        <v>20</v>
      </c>
      <c r="E19" s="1365" t="s">
        <v>20</v>
      </c>
      <c r="F19" s="1365" t="s">
        <v>20</v>
      </c>
      <c r="G19" s="1366" t="s">
        <v>20</v>
      </c>
    </row>
    <row r="20" spans="2:7">
      <c r="B20" s="85"/>
      <c r="C20" s="370"/>
      <c r="D20" s="370"/>
      <c r="E20" s="370"/>
      <c r="F20" s="370"/>
      <c r="G20" s="371">
        <f>+SUM(C20:F20)</f>
        <v>0</v>
      </c>
    </row>
    <row r="21" spans="2:7">
      <c r="B21" s="85"/>
      <c r="C21" s="370"/>
      <c r="D21" s="370"/>
      <c r="E21" s="370"/>
      <c r="F21" s="370"/>
      <c r="G21" s="372">
        <f t="shared" ref="G21:G23" si="2">+SUM(C21:F21)</f>
        <v>0</v>
      </c>
    </row>
    <row r="22" spans="2:7">
      <c r="B22" s="85"/>
      <c r="C22" s="370"/>
      <c r="D22" s="370"/>
      <c r="E22" s="370"/>
      <c r="F22" s="370"/>
      <c r="G22" s="372">
        <f t="shared" si="2"/>
        <v>0</v>
      </c>
    </row>
    <row r="23" spans="2:7">
      <c r="B23" s="87"/>
      <c r="C23" s="370"/>
      <c r="D23" s="370"/>
      <c r="E23" s="370"/>
      <c r="F23" s="370"/>
      <c r="G23" s="373">
        <f t="shared" si="2"/>
        <v>0</v>
      </c>
    </row>
    <row r="24" spans="2:7">
      <c r="B24" s="1371">
        <f>+Datos!E6</f>
        <v>45291</v>
      </c>
      <c r="C24" s="1372">
        <f>+SUM(C20:C23)</f>
        <v>0</v>
      </c>
      <c r="D24" s="1372">
        <f t="shared" ref="D24:G24" si="3">+SUM(D20:D23)</f>
        <v>0</v>
      </c>
      <c r="E24" s="1372">
        <f t="shared" si="3"/>
        <v>0</v>
      </c>
      <c r="F24" s="1372">
        <f t="shared" si="3"/>
        <v>0</v>
      </c>
      <c r="G24" s="1373">
        <f t="shared" si="3"/>
        <v>0</v>
      </c>
    </row>
    <row r="25" spans="2:7">
      <c r="C25" s="345"/>
      <c r="D25" s="345"/>
      <c r="E25" s="345"/>
      <c r="F25" s="345"/>
      <c r="G25" s="345"/>
    </row>
    <row r="26" spans="2:7">
      <c r="B26" s="89" t="s">
        <v>289</v>
      </c>
      <c r="C26" s="374"/>
      <c r="D26" s="374"/>
      <c r="E26" s="374"/>
      <c r="F26" s="374"/>
      <c r="G26" s="375">
        <f>+G24-'Est Situacion'!H32</f>
        <v>0</v>
      </c>
    </row>
  </sheetData>
  <hyperlinks>
    <hyperlink ref="D1" location="'Est Situacion'!A1" display="Volver" xr:uid="{00000000-0004-0000-22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tabColor theme="3" tint="0.39997558519241921"/>
    <pageSetUpPr fitToPage="1"/>
  </sheetPr>
  <dimension ref="A1:O119"/>
  <sheetViews>
    <sheetView showGridLines="0" topLeftCell="A34" workbookViewId="0">
      <selection activeCell="B72" sqref="B72"/>
    </sheetView>
  </sheetViews>
  <sheetFormatPr baseColWidth="10" defaultColWidth="11.46484375" defaultRowHeight="13.15"/>
  <cols>
    <col min="1" max="1" width="11.46484375" style="1"/>
    <col min="2" max="2" width="36.796875" style="1" customWidth="1"/>
    <col min="3" max="9" width="14" style="1" customWidth="1"/>
    <col min="10" max="10" width="14" style="2" customWidth="1"/>
    <col min="11" max="11" width="13.53125" style="1" customWidth="1"/>
    <col min="12" max="12" width="39.19921875" style="1" bestFit="1" customWidth="1"/>
    <col min="13" max="14" width="13.86328125" style="1" customWidth="1"/>
    <col min="15" max="15" width="12.53125" style="1" bestFit="1" customWidth="1"/>
    <col min="16" max="16384" width="11.46484375" style="1"/>
  </cols>
  <sheetData>
    <row r="1" spans="1:15" ht="14.25">
      <c r="A1" s="33" t="s">
        <v>264</v>
      </c>
      <c r="B1" s="33"/>
      <c r="C1" s="33"/>
      <c r="D1" s="2"/>
      <c r="E1" s="2"/>
      <c r="H1" s="56" t="s">
        <v>417</v>
      </c>
    </row>
    <row r="3" spans="1:15">
      <c r="A3" s="1" t="s">
        <v>269</v>
      </c>
    </row>
    <row r="7" spans="1:15" ht="26.25">
      <c r="B7" s="1266" t="s">
        <v>467</v>
      </c>
      <c r="C7" s="1297" t="s">
        <v>471</v>
      </c>
      <c r="D7" s="1297" t="s">
        <v>276</v>
      </c>
      <c r="E7" s="1297" t="s">
        <v>266</v>
      </c>
      <c r="F7" s="1297" t="s">
        <v>472</v>
      </c>
      <c r="G7" s="1297" t="s">
        <v>473</v>
      </c>
      <c r="H7" s="1297" t="s">
        <v>866</v>
      </c>
      <c r="I7" s="1297" t="s">
        <v>474</v>
      </c>
      <c r="J7" s="1298" t="s">
        <v>109</v>
      </c>
      <c r="M7" s="628"/>
    </row>
    <row r="8" spans="1:15" ht="13.5" thickBot="1">
      <c r="B8" s="1276"/>
      <c r="C8" s="1221" t="s">
        <v>20</v>
      </c>
      <c r="D8" s="1221" t="s">
        <v>20</v>
      </c>
      <c r="E8" s="1221" t="s">
        <v>20</v>
      </c>
      <c r="F8" s="1221" t="s">
        <v>20</v>
      </c>
      <c r="G8" s="1221" t="s">
        <v>20</v>
      </c>
      <c r="H8" s="1221" t="s">
        <v>20</v>
      </c>
      <c r="I8" s="1221" t="s">
        <v>20</v>
      </c>
      <c r="J8" s="1277" t="s">
        <v>20</v>
      </c>
    </row>
    <row r="9" spans="1:15" ht="13.5" thickBot="1">
      <c r="L9" s="610"/>
      <c r="M9" s="593">
        <f>+'Est Situacion'!G4</f>
        <v>45657</v>
      </c>
      <c r="N9" s="593">
        <f>+'Est Situacion'!H4</f>
        <v>45291</v>
      </c>
      <c r="O9" s="593">
        <f>+'Est Situacion'!I4</f>
        <v>44927</v>
      </c>
    </row>
    <row r="10" spans="1:15">
      <c r="B10" s="1" t="s">
        <v>1360</v>
      </c>
      <c r="C10" s="315"/>
      <c r="D10" s="315"/>
      <c r="E10" s="315"/>
      <c r="F10" s="315"/>
      <c r="G10" s="315"/>
      <c r="H10" s="315"/>
      <c r="I10" s="315"/>
      <c r="J10" s="316"/>
      <c r="L10" s="1025"/>
      <c r="M10" s="623"/>
      <c r="N10" s="623"/>
      <c r="O10" s="623"/>
    </row>
    <row r="11" spans="1:15">
      <c r="B11" s="1" t="s">
        <v>261</v>
      </c>
      <c r="C11" s="315"/>
      <c r="D11" s="315"/>
      <c r="E11" s="315"/>
      <c r="F11" s="315"/>
      <c r="G11" s="315"/>
      <c r="H11" s="315"/>
      <c r="I11" s="315"/>
      <c r="J11" s="316">
        <f t="shared" ref="J11:J13" si="0">+SUM(C11:I11)</f>
        <v>0</v>
      </c>
      <c r="L11" s="1025"/>
      <c r="M11" s="623"/>
      <c r="N11" s="623"/>
      <c r="O11" s="623"/>
    </row>
    <row r="12" spans="1:15">
      <c r="B12" s="1" t="s">
        <v>468</v>
      </c>
      <c r="C12" s="315"/>
      <c r="D12" s="315"/>
      <c r="E12" s="315"/>
      <c r="F12" s="315"/>
      <c r="G12" s="315"/>
      <c r="H12" s="315"/>
      <c r="I12" s="315"/>
      <c r="J12" s="316">
        <f t="shared" si="0"/>
        <v>0</v>
      </c>
      <c r="L12" s="1025"/>
      <c r="M12" s="623"/>
      <c r="N12" s="623"/>
      <c r="O12" s="623"/>
    </row>
    <row r="13" spans="1:15">
      <c r="B13" s="1" t="s">
        <v>469</v>
      </c>
      <c r="C13" s="315"/>
      <c r="D13" s="315"/>
      <c r="E13" s="315"/>
      <c r="F13" s="315"/>
      <c r="G13" s="315"/>
      <c r="H13" s="315"/>
      <c r="I13" s="315"/>
      <c r="J13" s="316">
        <f t="shared" si="0"/>
        <v>0</v>
      </c>
      <c r="L13" s="1025"/>
      <c r="M13" s="623"/>
      <c r="N13" s="623"/>
      <c r="O13" s="623"/>
    </row>
    <row r="14" spans="1:15">
      <c r="C14" s="315"/>
      <c r="D14" s="315"/>
      <c r="E14" s="315"/>
      <c r="F14" s="315"/>
      <c r="G14" s="315"/>
      <c r="H14" s="315"/>
      <c r="I14" s="315"/>
      <c r="J14" s="316"/>
      <c r="L14" s="1025"/>
      <c r="M14" s="623"/>
      <c r="N14" s="623"/>
      <c r="O14" s="623"/>
    </row>
    <row r="15" spans="1:15">
      <c r="B15" s="1374">
        <f>+Datos!E6</f>
        <v>45291</v>
      </c>
      <c r="C15" s="1259">
        <f>+SUM(C10:C14)</f>
        <v>0</v>
      </c>
      <c r="D15" s="1259">
        <f t="shared" ref="D15:J15" si="1">+SUM(D10:D14)</f>
        <v>0</v>
      </c>
      <c r="E15" s="1259">
        <f t="shared" si="1"/>
        <v>0</v>
      </c>
      <c r="F15" s="1259">
        <f t="shared" si="1"/>
        <v>0</v>
      </c>
      <c r="G15" s="1259">
        <f t="shared" si="1"/>
        <v>0</v>
      </c>
      <c r="H15" s="1259">
        <f t="shared" si="1"/>
        <v>0</v>
      </c>
      <c r="I15" s="1259">
        <f t="shared" si="1"/>
        <v>0</v>
      </c>
      <c r="J15" s="1334">
        <f t="shared" si="1"/>
        <v>0</v>
      </c>
      <c r="L15" s="1025"/>
      <c r="M15" s="623"/>
      <c r="N15" s="623"/>
      <c r="O15" s="623"/>
    </row>
    <row r="16" spans="1:15">
      <c r="C16" s="152"/>
      <c r="D16" s="152"/>
      <c r="E16" s="152"/>
      <c r="F16" s="152"/>
      <c r="G16" s="152"/>
      <c r="H16" s="152"/>
      <c r="I16" s="152"/>
      <c r="J16" s="316"/>
      <c r="L16" s="1025"/>
      <c r="M16" s="623"/>
      <c r="N16" s="623"/>
      <c r="O16" s="623"/>
    </row>
    <row r="17" spans="2:15">
      <c r="B17" s="2" t="s">
        <v>1362</v>
      </c>
      <c r="C17" s="316">
        <f>+C15</f>
        <v>0</v>
      </c>
      <c r="D17" s="316">
        <f t="shared" ref="D17:I17" si="2">+D15</f>
        <v>0</v>
      </c>
      <c r="E17" s="316">
        <f t="shared" si="2"/>
        <v>0</v>
      </c>
      <c r="F17" s="316">
        <f t="shared" si="2"/>
        <v>0</v>
      </c>
      <c r="G17" s="316">
        <f t="shared" si="2"/>
        <v>0</v>
      </c>
      <c r="H17" s="316">
        <f t="shared" si="2"/>
        <v>0</v>
      </c>
      <c r="I17" s="316">
        <f t="shared" si="2"/>
        <v>0</v>
      </c>
      <c r="J17" s="316">
        <f t="shared" ref="J17:J20" si="3">+SUM(C17:I17)</f>
        <v>0</v>
      </c>
      <c r="L17" s="1025"/>
      <c r="M17" s="623"/>
      <c r="N17" s="623"/>
      <c r="O17" s="623"/>
    </row>
    <row r="18" spans="2:15">
      <c r="B18" s="1" t="s">
        <v>261</v>
      </c>
      <c r="C18" s="315"/>
      <c r="D18" s="315"/>
      <c r="E18" s="315"/>
      <c r="F18" s="315"/>
      <c r="G18" s="315"/>
      <c r="H18" s="315"/>
      <c r="I18" s="315"/>
      <c r="J18" s="316">
        <f>+SUM(C18:I18)</f>
        <v>0</v>
      </c>
      <c r="L18" s="1025"/>
      <c r="M18" s="623"/>
      <c r="N18" s="623"/>
      <c r="O18" s="623"/>
    </row>
    <row r="19" spans="2:15">
      <c r="B19" s="1" t="s">
        <v>468</v>
      </c>
      <c r="D19" s="315"/>
      <c r="E19" s="315"/>
      <c r="F19" s="315"/>
      <c r="G19" s="315"/>
      <c r="H19" s="315"/>
      <c r="I19" s="315"/>
      <c r="J19" s="316">
        <f t="shared" si="3"/>
        <v>0</v>
      </c>
      <c r="L19" s="1025"/>
      <c r="M19" s="623"/>
      <c r="N19" s="623"/>
      <c r="O19" s="623"/>
    </row>
    <row r="20" spans="2:15">
      <c r="B20" s="1" t="s">
        <v>469</v>
      </c>
      <c r="C20" s="315"/>
      <c r="D20" s="315"/>
      <c r="E20" s="315"/>
      <c r="F20" s="315"/>
      <c r="G20" s="315"/>
      <c r="H20" s="315"/>
      <c r="I20" s="315"/>
      <c r="J20" s="316">
        <f t="shared" si="3"/>
        <v>0</v>
      </c>
      <c r="L20" s="1025"/>
      <c r="M20" s="623"/>
      <c r="N20" s="623"/>
      <c r="O20" s="623"/>
    </row>
    <row r="21" spans="2:15">
      <c r="C21" s="152"/>
      <c r="D21" s="152"/>
      <c r="E21" s="152"/>
      <c r="F21" s="152"/>
      <c r="G21" s="152"/>
      <c r="H21" s="152"/>
      <c r="I21" s="152"/>
      <c r="J21" s="316"/>
      <c r="L21" s="1025"/>
      <c r="M21" s="623"/>
      <c r="N21" s="623"/>
      <c r="O21" s="623"/>
    </row>
    <row r="22" spans="2:15">
      <c r="B22" s="1374">
        <f>+Datos!D6</f>
        <v>45657</v>
      </c>
      <c r="C22" s="1259">
        <f>+SUM(C17:C21)</f>
        <v>0</v>
      </c>
      <c r="D22" s="1259">
        <f t="shared" ref="D22:J22" si="4">+SUM(D17:D21)</f>
        <v>0</v>
      </c>
      <c r="E22" s="1259">
        <f t="shared" si="4"/>
        <v>0</v>
      </c>
      <c r="F22" s="1259">
        <f t="shared" si="4"/>
        <v>0</v>
      </c>
      <c r="G22" s="1259">
        <f t="shared" si="4"/>
        <v>0</v>
      </c>
      <c r="H22" s="1259">
        <f t="shared" si="4"/>
        <v>0</v>
      </c>
      <c r="I22" s="1259">
        <f t="shared" si="4"/>
        <v>0</v>
      </c>
      <c r="J22" s="1334">
        <f t="shared" si="4"/>
        <v>0</v>
      </c>
      <c r="L22" s="1025"/>
      <c r="M22" s="623"/>
      <c r="N22" s="623"/>
      <c r="O22" s="623"/>
    </row>
    <row r="23" spans="2:15">
      <c r="L23" s="1025"/>
      <c r="M23" s="623"/>
      <c r="N23" s="623"/>
      <c r="O23" s="623"/>
    </row>
    <row r="24" spans="2:15">
      <c r="L24" s="1025"/>
      <c r="M24" s="1025"/>
      <c r="N24" s="1025"/>
      <c r="O24" s="1025"/>
    </row>
    <row r="25" spans="2:15">
      <c r="L25" s="591"/>
      <c r="M25" s="591"/>
      <c r="N25" s="591"/>
      <c r="O25" s="591"/>
    </row>
    <row r="26" spans="2:15" ht="13.5" thickBot="1">
      <c r="L26" s="600"/>
      <c r="M26" s="603"/>
      <c r="N26" s="603"/>
      <c r="O26" s="600"/>
    </row>
    <row r="27" spans="2:15" ht="26.65" thickBot="1">
      <c r="B27" s="1266" t="s">
        <v>475</v>
      </c>
      <c r="C27" s="1297" t="s">
        <v>471</v>
      </c>
      <c r="D27" s="1297" t="s">
        <v>276</v>
      </c>
      <c r="E27" s="1297" t="s">
        <v>266</v>
      </c>
      <c r="F27" s="1297" t="s">
        <v>472</v>
      </c>
      <c r="G27" s="1297" t="s">
        <v>473</v>
      </c>
      <c r="H27" s="1297" t="s">
        <v>866</v>
      </c>
      <c r="I27" s="1297" t="s">
        <v>474</v>
      </c>
      <c r="J27" s="1298" t="s">
        <v>109</v>
      </c>
      <c r="L27" s="586"/>
      <c r="M27" s="624">
        <f>SUM(M10:M23)</f>
        <v>0</v>
      </c>
      <c r="N27" s="624">
        <f>SUM(N10:N23)</f>
        <v>0</v>
      </c>
      <c r="O27" s="574">
        <f>SUM(O10:O26)</f>
        <v>0</v>
      </c>
    </row>
    <row r="28" spans="2:15">
      <c r="B28" s="1276"/>
      <c r="C28" s="1221" t="s">
        <v>20</v>
      </c>
      <c r="D28" s="1221" t="s">
        <v>20</v>
      </c>
      <c r="E28" s="1221" t="s">
        <v>20</v>
      </c>
      <c r="F28" s="1221" t="s">
        <v>20</v>
      </c>
      <c r="G28" s="1221" t="s">
        <v>20</v>
      </c>
      <c r="H28" s="1221" t="s">
        <v>20</v>
      </c>
      <c r="I28" s="1221" t="s">
        <v>20</v>
      </c>
      <c r="J28" s="1277" t="s">
        <v>20</v>
      </c>
    </row>
    <row r="29" spans="2:15">
      <c r="N29" s="628"/>
    </row>
    <row r="30" spans="2:15">
      <c r="B30" s="1" t="s">
        <v>1360</v>
      </c>
      <c r="C30" s="315"/>
      <c r="D30" s="315"/>
      <c r="E30" s="315"/>
      <c r="F30" s="315"/>
      <c r="G30" s="315"/>
      <c r="H30" s="315"/>
      <c r="I30" s="315"/>
      <c r="J30" s="316"/>
    </row>
    <row r="31" spans="2:15">
      <c r="B31" s="1" t="s">
        <v>468</v>
      </c>
      <c r="C31" s="315"/>
      <c r="D31" s="315"/>
      <c r="E31" s="315"/>
      <c r="F31" s="315"/>
      <c r="G31" s="315"/>
      <c r="H31" s="315"/>
      <c r="I31" s="315"/>
      <c r="J31" s="316">
        <f t="shared" ref="J31:J33" si="5">+SUM(C31:I31)</f>
        <v>0</v>
      </c>
    </row>
    <row r="32" spans="2:15">
      <c r="B32" s="1" t="s">
        <v>470</v>
      </c>
      <c r="C32" s="315"/>
      <c r="D32" s="315"/>
      <c r="E32" s="315"/>
      <c r="F32" s="315"/>
      <c r="G32" s="315"/>
      <c r="H32" s="315"/>
      <c r="I32" s="315"/>
      <c r="J32" s="316"/>
      <c r="L32" s="152"/>
      <c r="M32" s="152"/>
    </row>
    <row r="33" spans="2:11">
      <c r="B33" s="1" t="s">
        <v>469</v>
      </c>
      <c r="C33" s="315"/>
      <c r="D33" s="315"/>
      <c r="E33" s="315"/>
      <c r="F33" s="315"/>
      <c r="G33" s="315"/>
      <c r="H33" s="315"/>
      <c r="I33" s="315"/>
      <c r="J33" s="316">
        <f t="shared" si="5"/>
        <v>0</v>
      </c>
      <c r="K33" s="628"/>
    </row>
    <row r="34" spans="2:11">
      <c r="C34" s="152"/>
      <c r="D34" s="152"/>
      <c r="E34" s="152"/>
      <c r="F34" s="152"/>
      <c r="G34" s="152"/>
      <c r="H34" s="152"/>
      <c r="I34" s="152"/>
      <c r="J34" s="316"/>
    </row>
    <row r="35" spans="2:11">
      <c r="B35" s="462">
        <f>+Datos!E6</f>
        <v>45291</v>
      </c>
      <c r="C35" s="351">
        <f>+SUM(C30:C34)</f>
        <v>0</v>
      </c>
      <c r="D35" s="351">
        <f t="shared" ref="D35" si="6">+SUM(D30:D34)</f>
        <v>0</v>
      </c>
      <c r="E35" s="351">
        <f t="shared" ref="E35" si="7">+SUM(E30:E34)</f>
        <v>0</v>
      </c>
      <c r="F35" s="351">
        <f t="shared" ref="F35" si="8">+SUM(F30:F34)</f>
        <v>0</v>
      </c>
      <c r="G35" s="351">
        <f t="shared" ref="G35" si="9">+SUM(G30:G34)</f>
        <v>0</v>
      </c>
      <c r="H35" s="351">
        <f t="shared" ref="H35" si="10">+SUM(H30:H34)</f>
        <v>0</v>
      </c>
      <c r="I35" s="351">
        <f t="shared" ref="I35" si="11">+SUM(I30:I34)</f>
        <v>0</v>
      </c>
      <c r="J35" s="376">
        <f t="shared" ref="J35" si="12">+SUM(J30:J34)</f>
        <v>0</v>
      </c>
    </row>
    <row r="36" spans="2:11">
      <c r="C36" s="152"/>
      <c r="D36" s="152"/>
      <c r="E36" s="152"/>
      <c r="F36" s="152"/>
      <c r="G36" s="152"/>
      <c r="H36" s="152"/>
      <c r="I36" s="152"/>
      <c r="J36" s="316"/>
    </row>
    <row r="37" spans="2:11">
      <c r="B37" s="1" t="s">
        <v>1362</v>
      </c>
      <c r="C37" s="152">
        <f>+C35</f>
        <v>0</v>
      </c>
      <c r="D37" s="152">
        <f t="shared" ref="D37:I37" si="13">+D35</f>
        <v>0</v>
      </c>
      <c r="E37" s="152">
        <f t="shared" si="13"/>
        <v>0</v>
      </c>
      <c r="F37" s="152">
        <f>+F35</f>
        <v>0</v>
      </c>
      <c r="G37" s="152">
        <f t="shared" si="13"/>
        <v>0</v>
      </c>
      <c r="H37" s="152">
        <f t="shared" si="13"/>
        <v>0</v>
      </c>
      <c r="I37" s="152">
        <f t="shared" si="13"/>
        <v>0</v>
      </c>
      <c r="J37" s="316">
        <f t="shared" ref="J37:J40" si="14">+SUM(C37:I37)</f>
        <v>0</v>
      </c>
    </row>
    <row r="38" spans="2:11">
      <c r="B38" s="1" t="s">
        <v>468</v>
      </c>
      <c r="C38" s="315"/>
      <c r="D38" s="315"/>
      <c r="E38" s="315"/>
      <c r="F38" s="315"/>
      <c r="G38" s="315"/>
      <c r="H38" s="315"/>
      <c r="I38" s="315"/>
      <c r="J38" s="316"/>
    </row>
    <row r="39" spans="2:11">
      <c r="B39" s="1" t="s">
        <v>470</v>
      </c>
      <c r="C39" s="315"/>
      <c r="D39" s="315"/>
      <c r="E39" s="315"/>
      <c r="F39" s="315"/>
      <c r="G39" s="315"/>
      <c r="H39" s="315"/>
      <c r="I39" s="315"/>
      <c r="J39" s="316"/>
    </row>
    <row r="40" spans="2:11">
      <c r="B40" s="1" t="s">
        <v>469</v>
      </c>
      <c r="C40" s="315"/>
      <c r="D40" s="315"/>
      <c r="E40" s="315"/>
      <c r="F40" s="315"/>
      <c r="G40" s="315"/>
      <c r="H40" s="315"/>
      <c r="I40" s="315"/>
      <c r="J40" s="316">
        <f t="shared" si="14"/>
        <v>0</v>
      </c>
    </row>
    <row r="41" spans="2:11">
      <c r="C41" s="152"/>
      <c r="D41" s="152"/>
      <c r="E41" s="152"/>
      <c r="F41" s="152"/>
      <c r="G41" s="152"/>
      <c r="H41" s="152"/>
      <c r="I41" s="152"/>
      <c r="J41" s="316"/>
    </row>
    <row r="42" spans="2:11">
      <c r="B42" s="1374">
        <f>B22</f>
        <v>45657</v>
      </c>
      <c r="C42" s="1259">
        <f>+SUM(C37:C41)</f>
        <v>0</v>
      </c>
      <c r="D42" s="1259">
        <f t="shared" ref="D42" si="15">+SUM(D37:D41)</f>
        <v>0</v>
      </c>
      <c r="E42" s="1259">
        <f t="shared" ref="E42" si="16">+SUM(E37:E41)</f>
        <v>0</v>
      </c>
      <c r="F42" s="1259">
        <f t="shared" ref="F42" si="17">+SUM(F37:F41)</f>
        <v>0</v>
      </c>
      <c r="G42" s="1259">
        <f t="shared" ref="G42" si="18">+SUM(G37:G41)</f>
        <v>0</v>
      </c>
      <c r="H42" s="1259">
        <f t="shared" ref="H42" si="19">+SUM(H37:H41)</f>
        <v>0</v>
      </c>
      <c r="I42" s="1259">
        <f t="shared" ref="I42" si="20">+SUM(I37:I41)</f>
        <v>0</v>
      </c>
      <c r="J42" s="1334">
        <f t="shared" ref="J42" si="21">+SUM(J37:J41)</f>
        <v>0</v>
      </c>
    </row>
    <row r="43" spans="2:11">
      <c r="C43" s="152"/>
      <c r="D43" s="152"/>
      <c r="E43" s="152"/>
      <c r="F43" s="152"/>
      <c r="G43" s="152"/>
      <c r="H43" s="152"/>
      <c r="I43" s="152"/>
      <c r="J43" s="316"/>
    </row>
    <row r="44" spans="2:11">
      <c r="C44" s="152"/>
      <c r="D44" s="152"/>
      <c r="E44" s="152"/>
      <c r="F44" s="152"/>
      <c r="G44" s="152"/>
      <c r="H44" s="152"/>
      <c r="I44" s="152"/>
      <c r="J44" s="316"/>
    </row>
    <row r="45" spans="2:11">
      <c r="B45" s="2" t="s">
        <v>476</v>
      </c>
      <c r="C45" s="152"/>
      <c r="D45" s="152"/>
      <c r="E45" s="152"/>
      <c r="F45" s="152"/>
      <c r="G45" s="152"/>
      <c r="H45" s="152"/>
      <c r="I45" s="152"/>
      <c r="J45" s="316"/>
    </row>
    <row r="46" spans="2:11">
      <c r="C46" s="152"/>
      <c r="D46" s="152"/>
      <c r="E46" s="152"/>
      <c r="F46" s="152"/>
      <c r="G46" s="152"/>
      <c r="H46" s="152"/>
      <c r="I46" s="152"/>
      <c r="J46" s="316"/>
    </row>
    <row r="47" spans="2:11">
      <c r="B47" s="1242" t="s">
        <v>1360</v>
      </c>
      <c r="C47" s="1259">
        <f>+C10+C30</f>
        <v>0</v>
      </c>
      <c r="D47" s="1259">
        <f>+D15</f>
        <v>0</v>
      </c>
      <c r="E47" s="1259">
        <f t="shared" ref="E47:I47" si="22">+E10+E30</f>
        <v>0</v>
      </c>
      <c r="F47" s="1259">
        <f t="shared" si="22"/>
        <v>0</v>
      </c>
      <c r="G47" s="1259">
        <f t="shared" si="22"/>
        <v>0</v>
      </c>
      <c r="H47" s="1259">
        <f t="shared" si="22"/>
        <v>0</v>
      </c>
      <c r="I47" s="1259">
        <f t="shared" si="22"/>
        <v>0</v>
      </c>
      <c r="J47" s="1334">
        <f>+SUM(C47:I47)</f>
        <v>0</v>
      </c>
    </row>
    <row r="48" spans="2:11">
      <c r="B48" s="50" t="s">
        <v>203</v>
      </c>
      <c r="C48" s="377"/>
      <c r="D48" s="377"/>
      <c r="E48" s="377"/>
      <c r="F48" s="377"/>
      <c r="G48" s="377"/>
      <c r="H48" s="377"/>
      <c r="I48" s="377"/>
      <c r="J48" s="377"/>
    </row>
    <row r="49" spans="2:10">
      <c r="B49" s="1242" t="s">
        <v>1361</v>
      </c>
      <c r="C49" s="1259">
        <f>+C15+C35</f>
        <v>0</v>
      </c>
      <c r="D49" s="1259">
        <f t="shared" ref="D49:I49" si="23">+D15+D35</f>
        <v>0</v>
      </c>
      <c r="E49" s="1259">
        <f t="shared" si="23"/>
        <v>0</v>
      </c>
      <c r="F49" s="1259">
        <f t="shared" si="23"/>
        <v>0</v>
      </c>
      <c r="G49" s="1259">
        <f t="shared" si="23"/>
        <v>0</v>
      </c>
      <c r="H49" s="1259">
        <f t="shared" si="23"/>
        <v>0</v>
      </c>
      <c r="I49" s="1259">
        <f t="shared" si="23"/>
        <v>0</v>
      </c>
      <c r="J49" s="1334">
        <f>+SUM(C49:I49)</f>
        <v>0</v>
      </c>
    </row>
    <row r="50" spans="2:10">
      <c r="B50" s="50" t="s">
        <v>203</v>
      </c>
      <c r="C50" s="152"/>
      <c r="D50" s="152"/>
      <c r="E50" s="152"/>
      <c r="F50" s="152"/>
      <c r="G50" s="152"/>
      <c r="H50" s="152"/>
      <c r="I50" s="152"/>
      <c r="J50" s="377">
        <f>+J49-'Est Situacion'!H33</f>
        <v>0</v>
      </c>
    </row>
    <row r="51" spans="2:10">
      <c r="B51" s="1374">
        <f>+Datos!D6</f>
        <v>45657</v>
      </c>
      <c r="C51" s="1259">
        <f>+C22+C42</f>
        <v>0</v>
      </c>
      <c r="D51" s="1259">
        <f t="shared" ref="D51:I51" si="24">+D22+D42</f>
        <v>0</v>
      </c>
      <c r="E51" s="1259">
        <f t="shared" si="24"/>
        <v>0</v>
      </c>
      <c r="F51" s="1259">
        <f t="shared" si="24"/>
        <v>0</v>
      </c>
      <c r="G51" s="1259">
        <f t="shared" si="24"/>
        <v>0</v>
      </c>
      <c r="H51" s="1259">
        <f t="shared" si="24"/>
        <v>0</v>
      </c>
      <c r="I51" s="1259">
        <f t="shared" si="24"/>
        <v>0</v>
      </c>
      <c r="J51" s="1334">
        <f>+SUM(C51:I51)</f>
        <v>0</v>
      </c>
    </row>
    <row r="52" spans="2:10">
      <c r="B52" s="50" t="s">
        <v>203</v>
      </c>
      <c r="C52" s="152"/>
      <c r="D52" s="152"/>
      <c r="E52" s="152"/>
      <c r="F52" s="152"/>
      <c r="G52" s="152"/>
      <c r="H52" s="152"/>
      <c r="I52" s="152"/>
      <c r="J52" s="377">
        <f>+J51-'Est Situacion'!G33</f>
        <v>0</v>
      </c>
    </row>
    <row r="53" spans="2:10">
      <c r="C53" s="152"/>
      <c r="D53" s="152"/>
      <c r="E53" s="152"/>
      <c r="F53" s="152"/>
      <c r="G53" s="152"/>
      <c r="H53" s="152"/>
      <c r="I53" s="152"/>
      <c r="J53" s="316"/>
    </row>
    <row r="54" spans="2:10">
      <c r="B54" s="11" t="s">
        <v>1363</v>
      </c>
      <c r="C54" s="354"/>
      <c r="D54" s="354"/>
      <c r="E54" s="354"/>
      <c r="F54" s="354"/>
      <c r="G54" s="354"/>
      <c r="H54" s="354"/>
      <c r="I54" s="354"/>
      <c r="J54" s="376"/>
    </row>
    <row r="55" spans="2:10">
      <c r="B55" s="11"/>
      <c r="C55" s="354"/>
      <c r="D55" s="354"/>
      <c r="E55" s="354"/>
      <c r="F55" s="354"/>
      <c r="G55" s="354"/>
      <c r="H55" s="354"/>
      <c r="I55" s="354"/>
      <c r="J55" s="376"/>
    </row>
    <row r="56" spans="2:10">
      <c r="B56" s="11" t="s">
        <v>1364</v>
      </c>
      <c r="C56" s="354"/>
      <c r="D56" s="354"/>
      <c r="E56" s="354"/>
      <c r="F56" s="354"/>
      <c r="G56" s="354"/>
      <c r="H56" s="354"/>
      <c r="I56" s="354"/>
      <c r="J56" s="376"/>
    </row>
    <row r="59" spans="2:10">
      <c r="B59" s="2" t="s">
        <v>723</v>
      </c>
    </row>
    <row r="61" spans="2:10" ht="26.25">
      <c r="B61" s="1375"/>
      <c r="C61" s="1376" t="s">
        <v>724</v>
      </c>
    </row>
    <row r="62" spans="2:10">
      <c r="B62" s="1" t="s">
        <v>471</v>
      </c>
      <c r="C62" s="188"/>
    </row>
    <row r="63" spans="2:10">
      <c r="B63" s="1" t="s">
        <v>276</v>
      </c>
      <c r="C63" s="188"/>
    </row>
    <row r="64" spans="2:10">
      <c r="B64" s="1" t="s">
        <v>266</v>
      </c>
      <c r="C64" s="188"/>
    </row>
    <row r="65" spans="1:6">
      <c r="B65" s="1" t="s">
        <v>472</v>
      </c>
      <c r="C65" s="188"/>
    </row>
    <row r="66" spans="1:6">
      <c r="B66" s="1" t="s">
        <v>473</v>
      </c>
      <c r="C66" s="188"/>
    </row>
    <row r="67" spans="1:6">
      <c r="B67" s="1" t="s">
        <v>267</v>
      </c>
      <c r="C67" s="188"/>
    </row>
    <row r="68" spans="1:6">
      <c r="B68" s="1" t="s">
        <v>474</v>
      </c>
      <c r="C68" s="188"/>
    </row>
    <row r="69" spans="1:6">
      <c r="B69" s="1242" t="s">
        <v>109</v>
      </c>
      <c r="C69" s="1377">
        <f>+SUM(C62:C68)</f>
        <v>0</v>
      </c>
    </row>
    <row r="72" spans="1:6">
      <c r="A72" s="1" t="s">
        <v>273</v>
      </c>
    </row>
    <row r="73" spans="1:6">
      <c r="B73" s="1266"/>
      <c r="C73" s="1219" t="s">
        <v>270</v>
      </c>
      <c r="D73" s="1219" t="s">
        <v>271</v>
      </c>
      <c r="E73" s="1219" t="s">
        <v>272</v>
      </c>
      <c r="F73" s="1308" t="s">
        <v>109</v>
      </c>
    </row>
    <row r="74" spans="1:6">
      <c r="B74" s="1270"/>
      <c r="C74" s="1221" t="s">
        <v>20</v>
      </c>
      <c r="D74" s="1221" t="s">
        <v>20</v>
      </c>
      <c r="E74" s="1221" t="s">
        <v>20</v>
      </c>
      <c r="F74" s="1277" t="s">
        <v>20</v>
      </c>
    </row>
    <row r="75" spans="1:6">
      <c r="B75" s="1" t="s">
        <v>1365</v>
      </c>
      <c r="C75" s="315"/>
      <c r="D75" s="315"/>
      <c r="E75" s="315"/>
      <c r="F75" s="152">
        <f>+SUM(C75:E75)</f>
        <v>0</v>
      </c>
    </row>
    <row r="76" spans="1:6">
      <c r="B76" s="1" t="s">
        <v>1366</v>
      </c>
      <c r="C76" s="315"/>
      <c r="D76" s="315"/>
      <c r="E76" s="315"/>
      <c r="F76" s="152">
        <f t="shared" ref="F76" si="25">+SUM(C76:E76)</f>
        <v>0</v>
      </c>
    </row>
    <row r="77" spans="1:6">
      <c r="B77" s="11"/>
      <c r="C77" s="354"/>
      <c r="D77" s="354"/>
      <c r="E77" s="354"/>
      <c r="F77" s="355"/>
    </row>
    <row r="80" spans="1:6">
      <c r="A80" s="1" t="s">
        <v>274</v>
      </c>
    </row>
    <row r="83" spans="2:11">
      <c r="B83" s="2377" t="s">
        <v>478</v>
      </c>
      <c r="C83" s="2379">
        <f>+Datos!D6</f>
        <v>45657</v>
      </c>
      <c r="D83" s="2380"/>
      <c r="E83" s="2381"/>
      <c r="F83" s="2379">
        <f>+Datos!E6</f>
        <v>45291</v>
      </c>
      <c r="G83" s="2380"/>
      <c r="H83" s="2381"/>
      <c r="I83" s="2375"/>
      <c r="J83" s="2375"/>
      <c r="K83" s="2375"/>
    </row>
    <row r="84" spans="2:11">
      <c r="B84" s="2378"/>
      <c r="C84" s="1288" t="s">
        <v>436</v>
      </c>
      <c r="D84" s="1378" t="s">
        <v>113</v>
      </c>
      <c r="E84" s="1289" t="s">
        <v>725</v>
      </c>
      <c r="F84" s="1288" t="s">
        <v>436</v>
      </c>
      <c r="G84" s="1378" t="s">
        <v>113</v>
      </c>
      <c r="H84" s="1289" t="s">
        <v>725</v>
      </c>
      <c r="I84" s="458"/>
      <c r="J84" s="458"/>
      <c r="K84" s="458"/>
    </row>
    <row r="85" spans="2:11">
      <c r="B85" s="2325"/>
      <c r="C85" s="1270" t="s">
        <v>20</v>
      </c>
      <c r="D85" s="1221" t="s">
        <v>20</v>
      </c>
      <c r="E85" s="1277" t="s">
        <v>20</v>
      </c>
      <c r="F85" s="1270" t="s">
        <v>20</v>
      </c>
      <c r="G85" s="1221" t="s">
        <v>20</v>
      </c>
      <c r="H85" s="1277" t="s">
        <v>20</v>
      </c>
      <c r="I85" s="10"/>
      <c r="J85" s="10"/>
      <c r="K85" s="10"/>
    </row>
    <row r="86" spans="2:11">
      <c r="B86" s="19" t="s">
        <v>726</v>
      </c>
      <c r="C86" s="321"/>
      <c r="D86" s="188"/>
      <c r="E86" s="359">
        <f>+SUM(C86:D86)</f>
        <v>0</v>
      </c>
      <c r="F86" s="321"/>
      <c r="G86" s="188"/>
      <c r="H86" s="152">
        <f>+SUM(F86:G86)</f>
        <v>0</v>
      </c>
      <c r="I86" s="315"/>
      <c r="J86" s="463"/>
      <c r="K86" s="152"/>
    </row>
    <row r="87" spans="2:11">
      <c r="B87" s="19" t="s">
        <v>727</v>
      </c>
      <c r="C87" s="321"/>
      <c r="D87" s="188"/>
      <c r="E87" s="359">
        <f t="shared" ref="E87:E91" si="26">+SUM(C87:D87)</f>
        <v>0</v>
      </c>
      <c r="F87" s="321"/>
      <c r="G87" s="188"/>
      <c r="H87" s="152">
        <f t="shared" ref="H87:H91" si="27">+SUM(F87:G87)</f>
        <v>0</v>
      </c>
      <c r="I87" s="315"/>
      <c r="J87" s="463"/>
      <c r="K87" s="152"/>
    </row>
    <row r="88" spans="2:11">
      <c r="B88" s="19" t="s">
        <v>728</v>
      </c>
      <c r="C88" s="321"/>
      <c r="D88" s="188"/>
      <c r="E88" s="359">
        <f t="shared" si="26"/>
        <v>0</v>
      </c>
      <c r="F88" s="321"/>
      <c r="G88" s="188"/>
      <c r="H88" s="152">
        <f t="shared" si="27"/>
        <v>0</v>
      </c>
      <c r="I88" s="315"/>
      <c r="J88" s="463"/>
      <c r="K88" s="152"/>
    </row>
    <row r="89" spans="2:11">
      <c r="B89" s="19" t="s">
        <v>477</v>
      </c>
      <c r="C89" s="321"/>
      <c r="D89" s="188"/>
      <c r="E89" s="359">
        <f t="shared" si="26"/>
        <v>0</v>
      </c>
      <c r="F89" s="321"/>
      <c r="G89" s="188"/>
      <c r="H89" s="152">
        <f t="shared" si="27"/>
        <v>0</v>
      </c>
      <c r="I89" s="315"/>
      <c r="J89" s="463"/>
      <c r="K89" s="152"/>
    </row>
    <row r="90" spans="2:11" ht="26.25">
      <c r="B90" s="19" t="s">
        <v>729</v>
      </c>
      <c r="C90" s="321"/>
      <c r="D90" s="188"/>
      <c r="E90" s="359">
        <f t="shared" si="26"/>
        <v>0</v>
      </c>
      <c r="F90" s="321"/>
      <c r="G90" s="188"/>
      <c r="H90" s="152">
        <f t="shared" si="27"/>
        <v>0</v>
      </c>
      <c r="I90" s="315"/>
      <c r="J90" s="463"/>
      <c r="K90" s="152"/>
    </row>
    <row r="91" spans="2:11">
      <c r="B91" s="188" t="s">
        <v>375</v>
      </c>
      <c r="C91" s="321"/>
      <c r="D91" s="188"/>
      <c r="E91" s="359">
        <f t="shared" si="26"/>
        <v>0</v>
      </c>
      <c r="F91" s="321"/>
      <c r="G91" s="188"/>
      <c r="H91" s="152">
        <f t="shared" si="27"/>
        <v>0</v>
      </c>
      <c r="I91" s="315"/>
      <c r="J91" s="463"/>
      <c r="K91" s="152"/>
    </row>
    <row r="92" spans="2:11">
      <c r="B92" s="47" t="s">
        <v>109</v>
      </c>
      <c r="C92" s="361">
        <f>+SUM(C86:C91)</f>
        <v>0</v>
      </c>
      <c r="D92" s="351">
        <f t="shared" ref="D92:H92" si="28">+SUM(D86:D91)</f>
        <v>0</v>
      </c>
      <c r="E92" s="376">
        <f t="shared" si="28"/>
        <v>0</v>
      </c>
      <c r="F92" s="361">
        <f t="shared" si="28"/>
        <v>0</v>
      </c>
      <c r="G92" s="351">
        <f t="shared" si="28"/>
        <v>0</v>
      </c>
      <c r="H92" s="351">
        <f t="shared" si="28"/>
        <v>0</v>
      </c>
      <c r="I92" s="316"/>
      <c r="J92" s="316"/>
      <c r="K92" s="316"/>
    </row>
    <row r="96" spans="2:11">
      <c r="C96" s="2376">
        <f>+Datos!D6</f>
        <v>45657</v>
      </c>
      <c r="D96" s="2335"/>
      <c r="E96" s="2336"/>
      <c r="F96" s="2376">
        <f>+Datos!E6</f>
        <v>45291</v>
      </c>
      <c r="G96" s="2335"/>
      <c r="H96" s="2336"/>
      <c r="I96" s="2375"/>
      <c r="J96" s="2374"/>
      <c r="K96" s="2374"/>
    </row>
    <row r="97" spans="1:11">
      <c r="B97" s="1295"/>
      <c r="C97" s="1266" t="s">
        <v>479</v>
      </c>
      <c r="D97" s="1219" t="s">
        <v>480</v>
      </c>
      <c r="E97" s="1308" t="s">
        <v>484</v>
      </c>
      <c r="F97" s="1266" t="s">
        <v>479</v>
      </c>
      <c r="G97" s="1219" t="s">
        <v>480</v>
      </c>
      <c r="H97" s="1308" t="s">
        <v>484</v>
      </c>
      <c r="I97" s="10"/>
      <c r="J97" s="10"/>
      <c r="K97" s="10"/>
    </row>
    <row r="98" spans="1:11">
      <c r="B98" s="1276"/>
      <c r="C98" s="1270" t="s">
        <v>20</v>
      </c>
      <c r="D98" s="1221" t="s">
        <v>20</v>
      </c>
      <c r="E98" s="1277" t="s">
        <v>20</v>
      </c>
      <c r="F98" s="1270" t="s">
        <v>20</v>
      </c>
      <c r="G98" s="1221" t="s">
        <v>20</v>
      </c>
      <c r="H98" s="1277" t="s">
        <v>20</v>
      </c>
      <c r="I98" s="10"/>
      <c r="J98" s="10"/>
      <c r="K98" s="10"/>
    </row>
    <row r="99" spans="1:11">
      <c r="B99" s="1" t="s">
        <v>481</v>
      </c>
      <c r="C99" s="321"/>
      <c r="D99" s="315"/>
      <c r="E99" s="359">
        <f>+C99+D99</f>
        <v>0</v>
      </c>
      <c r="F99" s="315"/>
      <c r="G99" s="315"/>
      <c r="H99" s="152">
        <f>+F99+G99</f>
        <v>0</v>
      </c>
      <c r="I99" s="315"/>
      <c r="J99" s="322"/>
      <c r="K99" s="152"/>
    </row>
    <row r="100" spans="1:11">
      <c r="B100" s="1" t="s">
        <v>482</v>
      </c>
      <c r="C100" s="321"/>
      <c r="D100" s="315"/>
      <c r="E100" s="359">
        <f t="shared" ref="E100:E101" si="29">+C100+D100</f>
        <v>0</v>
      </c>
      <c r="F100" s="315"/>
      <c r="G100" s="315"/>
      <c r="H100" s="152">
        <f t="shared" ref="H100:H101" si="30">+F100+G100</f>
        <v>0</v>
      </c>
      <c r="I100" s="315"/>
      <c r="J100" s="322"/>
      <c r="K100" s="152"/>
    </row>
    <row r="101" spans="1:11">
      <c r="B101" s="1" t="s">
        <v>483</v>
      </c>
      <c r="C101" s="321"/>
      <c r="D101" s="315"/>
      <c r="E101" s="359">
        <f t="shared" si="29"/>
        <v>0</v>
      </c>
      <c r="F101" s="315"/>
      <c r="G101" s="315"/>
      <c r="H101" s="152">
        <f t="shared" si="30"/>
        <v>0</v>
      </c>
      <c r="I101" s="315"/>
      <c r="J101" s="322"/>
      <c r="K101" s="152"/>
    </row>
    <row r="102" spans="1:11" s="2" customFormat="1">
      <c r="B102" s="47" t="s">
        <v>109</v>
      </c>
      <c r="C102" s="361">
        <f>+SUM(C99:C101)</f>
        <v>0</v>
      </c>
      <c r="D102" s="351">
        <f t="shared" ref="D102:H102" si="31">+SUM(D99:D101)</f>
        <v>0</v>
      </c>
      <c r="E102" s="376">
        <f t="shared" si="31"/>
        <v>0</v>
      </c>
      <c r="F102" s="351">
        <f t="shared" si="31"/>
        <v>0</v>
      </c>
      <c r="G102" s="351">
        <f t="shared" si="31"/>
        <v>0</v>
      </c>
      <c r="H102" s="351">
        <f t="shared" si="31"/>
        <v>0</v>
      </c>
      <c r="I102" s="316"/>
      <c r="J102" s="316"/>
      <c r="K102" s="316"/>
    </row>
    <row r="103" spans="1:11" s="2" customFormat="1">
      <c r="B103" s="1" t="s">
        <v>481</v>
      </c>
      <c r="C103" s="316" t="s">
        <v>684</v>
      </c>
      <c r="D103" s="316"/>
      <c r="E103" s="316">
        <f>+E99</f>
        <v>0</v>
      </c>
      <c r="F103" s="316"/>
      <c r="G103" s="316"/>
      <c r="H103" s="316"/>
      <c r="I103" s="316"/>
      <c r="J103" s="316"/>
      <c r="K103" s="316"/>
    </row>
    <row r="104" spans="1:11" s="2" customFormat="1">
      <c r="B104" s="1" t="s">
        <v>482</v>
      </c>
      <c r="C104" s="316"/>
      <c r="D104" s="316"/>
      <c r="E104" s="316">
        <f>+E100</f>
        <v>0</v>
      </c>
      <c r="F104" s="316"/>
      <c r="G104" s="316"/>
      <c r="H104" s="316"/>
      <c r="I104" s="316"/>
      <c r="J104" s="316"/>
      <c r="K104" s="316"/>
    </row>
    <row r="105" spans="1:11" s="2" customFormat="1">
      <c r="B105" s="1" t="s">
        <v>483</v>
      </c>
      <c r="C105" s="316"/>
      <c r="D105" s="316"/>
      <c r="E105" s="316">
        <f>+E101</f>
        <v>0</v>
      </c>
      <c r="F105" s="316"/>
      <c r="G105" s="316"/>
      <c r="H105" s="316"/>
      <c r="I105" s="316"/>
      <c r="J105" s="316"/>
      <c r="K105" s="316"/>
    </row>
    <row r="106" spans="1:11" s="2" customFormat="1">
      <c r="B106" s="10"/>
    </row>
    <row r="110" spans="1:11">
      <c r="A110" s="1" t="s">
        <v>275</v>
      </c>
    </row>
    <row r="112" spans="1:11">
      <c r="B112" s="1320"/>
      <c r="C112" s="2331" t="s">
        <v>141</v>
      </c>
      <c r="D112" s="2343"/>
      <c r="E112" s="2332"/>
      <c r="F112" s="2331" t="s">
        <v>199</v>
      </c>
      <c r="G112" s="2343"/>
      <c r="H112" s="2332"/>
      <c r="I112" s="2374"/>
      <c r="J112" s="2374"/>
      <c r="K112" s="2374"/>
    </row>
    <row r="113" spans="2:11">
      <c r="B113" s="1323"/>
      <c r="C113" s="2366">
        <f>+Datos!D6</f>
        <v>45657</v>
      </c>
      <c r="D113" s="2372"/>
      <c r="E113" s="2373"/>
      <c r="F113" s="2366">
        <f>+Datos!E6</f>
        <v>45291</v>
      </c>
      <c r="G113" s="2372"/>
      <c r="H113" s="2373"/>
      <c r="I113" s="2375"/>
      <c r="J113" s="2374"/>
      <c r="K113" s="2374"/>
    </row>
    <row r="114" spans="2:11" ht="39.4">
      <c r="B114" s="1322"/>
      <c r="C114" s="1355" t="s">
        <v>278</v>
      </c>
      <c r="D114" s="1335" t="s">
        <v>279</v>
      </c>
      <c r="E114" s="1336" t="s">
        <v>280</v>
      </c>
      <c r="F114" s="1355" t="s">
        <v>278</v>
      </c>
      <c r="G114" s="1335" t="s">
        <v>279</v>
      </c>
      <c r="H114" s="1336" t="s">
        <v>280</v>
      </c>
      <c r="I114" s="255"/>
      <c r="J114" s="255"/>
      <c r="K114" s="255"/>
    </row>
    <row r="115" spans="2:11">
      <c r="B115" s="9" t="s">
        <v>276</v>
      </c>
      <c r="C115" s="188"/>
      <c r="D115" s="188"/>
      <c r="E115" s="13"/>
      <c r="F115" s="189"/>
      <c r="G115" s="188"/>
      <c r="H115" s="13"/>
      <c r="I115" s="188"/>
      <c r="J115" s="463"/>
    </row>
    <row r="116" spans="2:11">
      <c r="B116" s="9" t="s">
        <v>266</v>
      </c>
      <c r="C116" s="188"/>
      <c r="D116" s="188"/>
      <c r="E116" s="13"/>
      <c r="F116" s="189"/>
      <c r="G116" s="188"/>
      <c r="H116" s="13"/>
      <c r="I116" s="188"/>
      <c r="J116" s="463"/>
    </row>
    <row r="117" spans="2:11">
      <c r="B117" s="9" t="s">
        <v>277</v>
      </c>
      <c r="C117" s="188"/>
      <c r="D117" s="188"/>
      <c r="E117" s="13"/>
      <c r="F117" s="189"/>
      <c r="G117" s="188"/>
      <c r="H117" s="13"/>
      <c r="I117" s="188"/>
      <c r="J117" s="463"/>
    </row>
    <row r="118" spans="2:11">
      <c r="B118" s="9" t="s">
        <v>267</v>
      </c>
      <c r="C118" s="188"/>
      <c r="D118" s="188"/>
      <c r="E118" s="13"/>
      <c r="F118" s="189"/>
      <c r="G118" s="188"/>
      <c r="H118" s="13"/>
      <c r="I118" s="188"/>
      <c r="J118" s="463"/>
    </row>
    <row r="119" spans="2:11">
      <c r="B119" s="29" t="s">
        <v>103</v>
      </c>
      <c r="C119" s="190"/>
      <c r="D119" s="190"/>
      <c r="E119" s="23"/>
      <c r="F119" s="464"/>
      <c r="G119" s="190"/>
      <c r="H119" s="23"/>
      <c r="I119" s="188"/>
      <c r="J119" s="463"/>
    </row>
  </sheetData>
  <sheetProtection formatCells="0"/>
  <mergeCells count="13">
    <mergeCell ref="C96:E96"/>
    <mergeCell ref="F96:H96"/>
    <mergeCell ref="I96:K96"/>
    <mergeCell ref="B83:B85"/>
    <mergeCell ref="C112:E112"/>
    <mergeCell ref="C83:E83"/>
    <mergeCell ref="F83:H83"/>
    <mergeCell ref="I83:K83"/>
    <mergeCell ref="C113:E113"/>
    <mergeCell ref="F112:H112"/>
    <mergeCell ref="F113:H113"/>
    <mergeCell ref="I112:K112"/>
    <mergeCell ref="I113:K113"/>
  </mergeCells>
  <hyperlinks>
    <hyperlink ref="H1" location="'Est Situacion'!A1" display="Volver" xr:uid="{00000000-0004-0000-2300-000000000000}"/>
  </hyperlinks>
  <pageMargins left="0.70866141732283472" right="0.70866141732283472" top="0.74803149606299213" bottom="0.74803149606299213" header="0.31496062992125984" footer="0.31496062992125984"/>
  <pageSetup scale="56" fitToHeight="2"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9"/>
  <dimension ref="A1:H28"/>
  <sheetViews>
    <sheetView showGridLines="0" topLeftCell="A4" workbookViewId="0">
      <selection activeCell="F30" sqref="F30"/>
    </sheetView>
  </sheetViews>
  <sheetFormatPr baseColWidth="10" defaultRowHeight="14.25"/>
  <cols>
    <col min="2" max="2" width="34" customWidth="1"/>
    <col min="5" max="5" width="13.796875" customWidth="1"/>
  </cols>
  <sheetData>
    <row r="1" spans="1:8">
      <c r="A1" s="33" t="s">
        <v>317</v>
      </c>
      <c r="B1" s="1"/>
      <c r="C1" s="1"/>
      <c r="D1" s="1"/>
      <c r="E1" s="1"/>
      <c r="F1" s="56" t="s">
        <v>417</v>
      </c>
      <c r="G1" s="1"/>
      <c r="H1" s="1"/>
    </row>
    <row r="2" spans="1:8">
      <c r="A2" s="1"/>
      <c r="B2" s="1"/>
      <c r="C2" s="1"/>
      <c r="D2" s="1"/>
      <c r="E2" s="1"/>
      <c r="F2" s="1"/>
      <c r="G2" s="1"/>
      <c r="H2" s="1"/>
    </row>
    <row r="3" spans="1:8">
      <c r="A3" s="1"/>
      <c r="B3" s="1"/>
      <c r="C3" s="1"/>
      <c r="D3" s="1"/>
      <c r="E3" s="1"/>
      <c r="F3" s="1"/>
      <c r="G3" s="1"/>
      <c r="H3" s="1"/>
    </row>
    <row r="4" spans="1:8">
      <c r="A4" s="1"/>
      <c r="B4" s="28"/>
      <c r="C4" s="35"/>
      <c r="D4" s="198">
        <f>+Datos!D6</f>
        <v>45657</v>
      </c>
      <c r="E4" s="36"/>
      <c r="F4" s="35"/>
      <c r="G4" s="198">
        <f>+Datos!E6</f>
        <v>45291</v>
      </c>
      <c r="H4" s="36"/>
    </row>
    <row r="5" spans="1:8" ht="24">
      <c r="A5" s="1"/>
      <c r="B5" s="199" t="s">
        <v>202</v>
      </c>
      <c r="C5" s="200" t="s">
        <v>161</v>
      </c>
      <c r="D5" s="200" t="s">
        <v>162</v>
      </c>
      <c r="E5" s="201" t="s">
        <v>160</v>
      </c>
      <c r="F5" s="200" t="s">
        <v>161</v>
      </c>
      <c r="G5" s="200" t="s">
        <v>162</v>
      </c>
      <c r="H5" s="201" t="s">
        <v>160</v>
      </c>
    </row>
    <row r="6" spans="1:8">
      <c r="A6" s="1"/>
      <c r="B6" s="202"/>
      <c r="C6" s="203" t="s">
        <v>20</v>
      </c>
      <c r="D6" s="203" t="s">
        <v>20</v>
      </c>
      <c r="E6" s="204" t="s">
        <v>20</v>
      </c>
      <c r="F6" s="203" t="s">
        <v>20</v>
      </c>
      <c r="G6" s="203" t="s">
        <v>20</v>
      </c>
      <c r="H6" s="204" t="s">
        <v>20</v>
      </c>
    </row>
    <row r="7" spans="1:8">
      <c r="A7" s="1"/>
      <c r="B7" s="37" t="s">
        <v>156</v>
      </c>
      <c r="C7" s="28"/>
      <c r="D7" s="28"/>
      <c r="E7" s="28"/>
      <c r="F7" s="28"/>
      <c r="G7" s="28"/>
      <c r="H7" s="28"/>
    </row>
    <row r="8" spans="1:8">
      <c r="A8" s="1"/>
      <c r="B8" s="28" t="s">
        <v>151</v>
      </c>
      <c r="C8" s="28"/>
      <c r="D8" s="28"/>
      <c r="E8" s="28">
        <f>+SUM(C8:D8)</f>
        <v>0</v>
      </c>
      <c r="F8" s="28"/>
      <c r="G8" s="28"/>
      <c r="H8" s="28">
        <f>+SUM(F8:G8)</f>
        <v>0</v>
      </c>
    </row>
    <row r="9" spans="1:8">
      <c r="A9" s="1"/>
      <c r="B9" s="28" t="s">
        <v>152</v>
      </c>
      <c r="C9" s="28"/>
      <c r="D9" s="28"/>
      <c r="E9" s="28">
        <f t="shared" ref="E9:E11" si="0">+SUM(C9:D9)</f>
        <v>0</v>
      </c>
      <c r="F9" s="28"/>
      <c r="G9" s="28"/>
      <c r="H9" s="28">
        <f t="shared" ref="H9:H11" si="1">+SUM(F9:G9)</f>
        <v>0</v>
      </c>
    </row>
    <row r="10" spans="1:8">
      <c r="A10" s="1"/>
      <c r="B10" s="28" t="s">
        <v>153</v>
      </c>
      <c r="C10" s="28"/>
      <c r="D10" s="28"/>
      <c r="E10" s="28">
        <f t="shared" si="0"/>
        <v>0</v>
      </c>
      <c r="F10" s="28"/>
      <c r="G10" s="28"/>
      <c r="H10" s="28">
        <f t="shared" si="1"/>
        <v>0</v>
      </c>
    </row>
    <row r="11" spans="1:8">
      <c r="A11" s="1"/>
      <c r="B11" s="28" t="s">
        <v>154</v>
      </c>
      <c r="C11" s="28"/>
      <c r="D11" s="28"/>
      <c r="E11" s="28">
        <f t="shared" si="0"/>
        <v>0</v>
      </c>
      <c r="F11" s="28"/>
      <c r="G11" s="28"/>
      <c r="H11" s="28">
        <f t="shared" si="1"/>
        <v>0</v>
      </c>
    </row>
    <row r="12" spans="1:8">
      <c r="A12" s="1"/>
      <c r="B12" s="35" t="s">
        <v>155</v>
      </c>
      <c r="C12" s="206">
        <f>+SUM(C8:C11)</f>
        <v>0</v>
      </c>
      <c r="D12" s="206">
        <f t="shared" ref="D12:E12" si="2">+SUM(D8:D11)</f>
        <v>0</v>
      </c>
      <c r="E12" s="207">
        <f t="shared" si="2"/>
        <v>0</v>
      </c>
      <c r="F12" s="206">
        <f>+SUM(F8:F11)</f>
        <v>0</v>
      </c>
      <c r="G12" s="206">
        <f t="shared" ref="G12:H12" si="3">+SUM(G8:G11)</f>
        <v>0</v>
      </c>
      <c r="H12" s="207">
        <f t="shared" si="3"/>
        <v>0</v>
      </c>
    </row>
    <row r="13" spans="1:8">
      <c r="A13" s="1"/>
      <c r="B13" s="37" t="s">
        <v>157</v>
      </c>
      <c r="C13" s="28"/>
      <c r="D13" s="28"/>
      <c r="E13" s="28"/>
      <c r="F13" s="28"/>
      <c r="G13" s="28"/>
      <c r="H13" s="28"/>
    </row>
    <row r="14" spans="1:8">
      <c r="A14" s="1"/>
      <c r="B14" s="28" t="s">
        <v>151</v>
      </c>
      <c r="C14" s="28"/>
      <c r="D14" s="28"/>
      <c r="E14" s="28">
        <f>+SUM(C14:D14)</f>
        <v>0</v>
      </c>
      <c r="F14" s="28"/>
      <c r="G14" s="28"/>
      <c r="H14" s="28">
        <f>+SUM(F14:G14)</f>
        <v>0</v>
      </c>
    </row>
    <row r="15" spans="1:8">
      <c r="A15" s="1"/>
      <c r="B15" s="28" t="s">
        <v>152</v>
      </c>
      <c r="C15" s="28"/>
      <c r="D15" s="28"/>
      <c r="E15" s="28">
        <f t="shared" ref="E15:E17" si="4">+SUM(C15:D15)</f>
        <v>0</v>
      </c>
      <c r="F15" s="28"/>
      <c r="G15" s="28"/>
      <c r="H15" s="28">
        <f t="shared" ref="H15:H17" si="5">+SUM(F15:G15)</f>
        <v>0</v>
      </c>
    </row>
    <row r="16" spans="1:8">
      <c r="A16" s="1"/>
      <c r="B16" s="28" t="s">
        <v>153</v>
      </c>
      <c r="C16" s="28"/>
      <c r="D16" s="28"/>
      <c r="E16" s="28">
        <f t="shared" si="4"/>
        <v>0</v>
      </c>
      <c r="F16" s="28"/>
      <c r="G16" s="28"/>
      <c r="H16" s="28">
        <f t="shared" si="5"/>
        <v>0</v>
      </c>
    </row>
    <row r="17" spans="1:8">
      <c r="A17" s="1"/>
      <c r="B17" s="28" t="s">
        <v>154</v>
      </c>
      <c r="C17" s="28"/>
      <c r="D17" s="28"/>
      <c r="E17" s="28">
        <f t="shared" si="4"/>
        <v>0</v>
      </c>
      <c r="F17" s="28"/>
      <c r="G17" s="28"/>
      <c r="H17" s="28">
        <f t="shared" si="5"/>
        <v>0</v>
      </c>
    </row>
    <row r="18" spans="1:8">
      <c r="A18" s="1"/>
      <c r="B18" s="35" t="s">
        <v>158</v>
      </c>
      <c r="C18" s="206">
        <f>+SUM(C14:C17)</f>
        <v>0</v>
      </c>
      <c r="D18" s="206">
        <f t="shared" ref="D18:E18" si="6">+SUM(D14:D17)</f>
        <v>0</v>
      </c>
      <c r="E18" s="207">
        <f t="shared" si="6"/>
        <v>0</v>
      </c>
      <c r="F18" s="206">
        <f>+SUM(F14:F17)</f>
        <v>0</v>
      </c>
      <c r="G18" s="206">
        <f t="shared" ref="G18:H18" si="7">+SUM(G14:G17)</f>
        <v>0</v>
      </c>
      <c r="H18" s="207">
        <f t="shared" si="7"/>
        <v>0</v>
      </c>
    </row>
    <row r="19" spans="1:8">
      <c r="A19" s="1"/>
      <c r="B19" s="35" t="s">
        <v>159</v>
      </c>
      <c r="C19" s="206">
        <f>+C18+C12</f>
        <v>0</v>
      </c>
      <c r="D19" s="206">
        <f t="shared" ref="D19:E19" si="8">+D18+D12</f>
        <v>0</v>
      </c>
      <c r="E19" s="207">
        <f t="shared" si="8"/>
        <v>0</v>
      </c>
      <c r="F19" s="206">
        <f>+F18+F12</f>
        <v>0</v>
      </c>
      <c r="G19" s="206">
        <f t="shared" ref="G19:H19" si="9">+G18+G12</f>
        <v>0</v>
      </c>
      <c r="H19" s="207">
        <f t="shared" si="9"/>
        <v>0</v>
      </c>
    </row>
    <row r="20" spans="1:8">
      <c r="A20" s="1"/>
      <c r="B20" s="28"/>
      <c r="C20" s="28"/>
      <c r="D20" s="28"/>
      <c r="E20" s="28"/>
      <c r="F20" s="28"/>
      <c r="G20" s="28"/>
      <c r="H20" s="28"/>
    </row>
    <row r="21" spans="1:8">
      <c r="A21" s="1"/>
      <c r="B21" s="41" t="s">
        <v>201</v>
      </c>
      <c r="C21" s="239"/>
      <c r="D21" s="240"/>
      <c r="E21" s="240" t="e">
        <f>+E19-'Est Situacion'!#REF!</f>
        <v>#REF!</v>
      </c>
      <c r="F21" s="240"/>
      <c r="G21" s="240"/>
      <c r="H21" s="240" t="e">
        <f>+H19-'Est Situacion'!#REF!</f>
        <v>#REF!</v>
      </c>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sheetProtection password="DF8B" sheet="1" objects="1" scenarios="1"/>
  <hyperlinks>
    <hyperlink ref="F1" location="'Est Situacion'!A1" display="Volver" xr:uid="{00000000-0004-0000-24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6">
    <tabColor theme="0" tint="-0.34998626667073579"/>
  </sheetPr>
  <dimension ref="A1:S41"/>
  <sheetViews>
    <sheetView showGridLines="0" topLeftCell="A17" workbookViewId="0">
      <selection activeCell="M54" sqref="M54"/>
    </sheetView>
  </sheetViews>
  <sheetFormatPr baseColWidth="10" defaultColWidth="11.46484375" defaultRowHeight="13.15"/>
  <cols>
    <col min="1" max="1" width="14" style="1" bestFit="1" customWidth="1"/>
    <col min="2" max="2" width="4.19921875" style="1" customWidth="1"/>
    <col min="3" max="3" width="21.53125" style="1" customWidth="1"/>
    <col min="4" max="4" width="8.19921875" style="196" customWidth="1"/>
    <col min="5" max="5" width="13.19921875" style="196" customWidth="1"/>
    <col min="6" max="6" width="8.19921875" style="196" customWidth="1"/>
    <col min="7" max="7" width="13.19921875" style="196" customWidth="1"/>
    <col min="8" max="8" width="8.19921875" style="196" customWidth="1"/>
    <col min="9" max="9" width="11.53125" style="1" bestFit="1" customWidth="1"/>
    <col min="10" max="10" width="5.19921875" style="1" customWidth="1"/>
    <col min="11" max="11" width="14" style="1" bestFit="1" customWidth="1"/>
    <col min="12" max="12" width="2.796875" style="1" customWidth="1"/>
    <col min="13" max="13" width="21.796875" style="1" customWidth="1"/>
    <col min="14" max="17" width="11.53125" style="1" bestFit="1" customWidth="1"/>
    <col min="18" max="16384" width="11.46484375" style="1"/>
  </cols>
  <sheetData>
    <row r="1" spans="1:19" ht="14.25">
      <c r="A1" t="s">
        <v>320</v>
      </c>
      <c r="B1"/>
      <c r="G1" s="56" t="s">
        <v>417</v>
      </c>
      <c r="K1" t="s">
        <v>320</v>
      </c>
    </row>
    <row r="3" spans="1:19" ht="15.75">
      <c r="A3" s="242" t="s">
        <v>331</v>
      </c>
      <c r="K3" s="242" t="s">
        <v>335</v>
      </c>
    </row>
    <row r="4" spans="1:19">
      <c r="A4" s="1" t="s">
        <v>321</v>
      </c>
      <c r="K4" s="1" t="s">
        <v>321</v>
      </c>
      <c r="N4" s="196"/>
      <c r="O4" s="196"/>
      <c r="P4" s="196"/>
      <c r="Q4" s="196"/>
      <c r="R4" s="196"/>
    </row>
    <row r="5" spans="1:19">
      <c r="N5" s="196"/>
      <c r="O5" s="196"/>
      <c r="P5" s="196"/>
      <c r="Q5" s="196"/>
      <c r="R5" s="196"/>
    </row>
    <row r="6" spans="1:19" ht="14.25">
      <c r="A6" s="243">
        <f>+Datos!D6</f>
        <v>45657</v>
      </c>
      <c r="B6" s="243"/>
      <c r="C6" s="244" t="s">
        <v>325</v>
      </c>
      <c r="D6" s="2317" t="s">
        <v>327</v>
      </c>
      <c r="E6" s="2387"/>
      <c r="F6" s="2317" t="s">
        <v>328</v>
      </c>
      <c r="G6" s="2387"/>
      <c r="H6" s="2317" t="s">
        <v>109</v>
      </c>
      <c r="I6" s="2387"/>
      <c r="K6" s="243">
        <f>+Datos!D6</f>
        <v>45657</v>
      </c>
      <c r="L6" s="243"/>
      <c r="M6" s="244" t="s">
        <v>325</v>
      </c>
      <c r="N6" s="2317" t="s">
        <v>327</v>
      </c>
      <c r="O6" s="2387"/>
      <c r="P6" s="2317" t="s">
        <v>328</v>
      </c>
      <c r="Q6" s="2387"/>
      <c r="R6" s="2317" t="s">
        <v>109</v>
      </c>
      <c r="S6" s="2387"/>
    </row>
    <row r="7" spans="1:19" ht="14.25">
      <c r="A7" s="33"/>
      <c r="B7" s="33"/>
      <c r="C7" s="245" t="s">
        <v>326</v>
      </c>
      <c r="D7" s="39" t="s">
        <v>329</v>
      </c>
      <c r="E7" s="6" t="s">
        <v>330</v>
      </c>
      <c r="F7" s="39" t="s">
        <v>329</v>
      </c>
      <c r="G7" s="6" t="s">
        <v>330</v>
      </c>
      <c r="H7" s="5" t="s">
        <v>329</v>
      </c>
      <c r="I7" s="6" t="s">
        <v>330</v>
      </c>
      <c r="K7" s="33"/>
      <c r="L7" s="33"/>
      <c r="M7" s="245" t="s">
        <v>326</v>
      </c>
      <c r="N7" s="39" t="s">
        <v>329</v>
      </c>
      <c r="O7" s="6" t="s">
        <v>330</v>
      </c>
      <c r="P7" s="39" t="s">
        <v>329</v>
      </c>
      <c r="Q7" s="6" t="s">
        <v>330</v>
      </c>
      <c r="R7" s="5" t="s">
        <v>329</v>
      </c>
      <c r="S7" s="6" t="s">
        <v>330</v>
      </c>
    </row>
    <row r="8" spans="1:19" ht="14.25">
      <c r="A8" s="33"/>
      <c r="B8" s="33"/>
      <c r="C8" s="9"/>
      <c r="D8" s="246"/>
      <c r="E8" s="247"/>
      <c r="F8" s="246"/>
      <c r="G8" s="247"/>
      <c r="H8" s="1">
        <f>+D8+F8</f>
        <v>0</v>
      </c>
      <c r="I8" s="13">
        <f>+E8+G8</f>
        <v>0</v>
      </c>
      <c r="K8" s="33"/>
      <c r="L8" s="33"/>
      <c r="M8" s="9"/>
      <c r="N8" s="246"/>
      <c r="O8" s="247"/>
      <c r="P8" s="246"/>
      <c r="Q8" s="247"/>
      <c r="R8" s="1">
        <f>+N8+P8</f>
        <v>0</v>
      </c>
      <c r="S8" s="13">
        <f>+O8+Q8</f>
        <v>0</v>
      </c>
    </row>
    <row r="9" spans="1:19" ht="14.25">
      <c r="A9" s="33"/>
      <c r="B9" s="33"/>
      <c r="C9" s="9" t="s">
        <v>322</v>
      </c>
      <c r="D9" s="246"/>
      <c r="E9" s="247"/>
      <c r="F9" s="246"/>
      <c r="G9" s="247"/>
      <c r="H9" s="1">
        <f t="shared" ref="H9:H10" si="0">+D9+F9</f>
        <v>0</v>
      </c>
      <c r="I9" s="13">
        <f t="shared" ref="I9:I10" si="1">+E9+G9</f>
        <v>0</v>
      </c>
      <c r="K9" s="33"/>
      <c r="L9" s="33"/>
      <c r="M9" s="9" t="s">
        <v>322</v>
      </c>
      <c r="N9" s="246"/>
      <c r="O9" s="247"/>
      <c r="P9" s="246"/>
      <c r="Q9" s="247"/>
      <c r="R9" s="1">
        <f t="shared" ref="R9:R10" si="2">+N9+P9</f>
        <v>0</v>
      </c>
      <c r="S9" s="13">
        <f t="shared" ref="S9:S10" si="3">+O9+Q9</f>
        <v>0</v>
      </c>
    </row>
    <row r="10" spans="1:19" ht="14.25">
      <c r="A10" s="33"/>
      <c r="B10" s="33"/>
      <c r="C10" s="9" t="s">
        <v>323</v>
      </c>
      <c r="D10" s="246"/>
      <c r="E10" s="247"/>
      <c r="F10" s="246"/>
      <c r="G10" s="247"/>
      <c r="H10" s="1">
        <f t="shared" si="0"/>
        <v>0</v>
      </c>
      <c r="I10" s="13">
        <f t="shared" si="1"/>
        <v>0</v>
      </c>
      <c r="K10" s="33"/>
      <c r="L10" s="33"/>
      <c r="M10" s="9" t="s">
        <v>323</v>
      </c>
      <c r="N10" s="246"/>
      <c r="O10" s="247"/>
      <c r="P10" s="246"/>
      <c r="Q10" s="247"/>
      <c r="R10" s="1">
        <f t="shared" si="2"/>
        <v>0</v>
      </c>
      <c r="S10" s="13">
        <f t="shared" si="3"/>
        <v>0</v>
      </c>
    </row>
    <row r="11" spans="1:19" ht="14.25">
      <c r="A11" s="33"/>
      <c r="B11" s="33"/>
      <c r="C11" s="7" t="s">
        <v>324</v>
      </c>
      <c r="D11" s="7">
        <f>+SUM(D9:D10)</f>
        <v>0</v>
      </c>
      <c r="E11" s="14">
        <f t="shared" ref="E11:I11" si="4">+SUM(E9:E10)</f>
        <v>0</v>
      </c>
      <c r="F11" s="7">
        <f t="shared" si="4"/>
        <v>0</v>
      </c>
      <c r="G11" s="14">
        <f t="shared" si="4"/>
        <v>0</v>
      </c>
      <c r="H11" s="8">
        <f t="shared" si="4"/>
        <v>0</v>
      </c>
      <c r="I11" s="14">
        <f t="shared" si="4"/>
        <v>0</v>
      </c>
      <c r="K11" s="33"/>
      <c r="L11" s="33"/>
      <c r="M11" s="7" t="s">
        <v>324</v>
      </c>
      <c r="N11" s="7">
        <f>+SUM(N9:N10)</f>
        <v>0</v>
      </c>
      <c r="O11" s="14">
        <f t="shared" ref="O11" si="5">+SUM(O9:O10)</f>
        <v>0</v>
      </c>
      <c r="P11" s="7">
        <f t="shared" ref="P11" si="6">+SUM(P9:P10)</f>
        <v>0</v>
      </c>
      <c r="Q11" s="14">
        <f t="shared" ref="Q11" si="7">+SUM(Q9:Q10)</f>
        <v>0</v>
      </c>
      <c r="R11" s="8">
        <f t="shared" ref="R11" si="8">+SUM(R9:R10)</f>
        <v>0</v>
      </c>
      <c r="S11" s="14">
        <f t="shared" ref="S11" si="9">+SUM(S9:S10)</f>
        <v>0</v>
      </c>
    </row>
    <row r="12" spans="1:19" ht="14.25">
      <c r="A12" s="33"/>
      <c r="B12" s="33"/>
      <c r="K12" s="33"/>
      <c r="L12" s="33"/>
      <c r="N12" s="196"/>
      <c r="O12" s="196"/>
      <c r="P12" s="196"/>
      <c r="Q12" s="196"/>
      <c r="R12" s="196"/>
    </row>
    <row r="13" spans="1:19" ht="14.25">
      <c r="A13" s="243">
        <f>+Datos!E6</f>
        <v>45291</v>
      </c>
      <c r="B13" s="243"/>
      <c r="C13" s="244" t="s">
        <v>325</v>
      </c>
      <c r="D13" s="2317" t="s">
        <v>327</v>
      </c>
      <c r="E13" s="2387"/>
      <c r="F13" s="2317" t="s">
        <v>328</v>
      </c>
      <c r="G13" s="2387"/>
      <c r="H13" s="2317" t="s">
        <v>109</v>
      </c>
      <c r="I13" s="2387"/>
      <c r="K13" s="243">
        <f>+Datos!E6</f>
        <v>45291</v>
      </c>
      <c r="L13" s="243"/>
      <c r="M13" s="244" t="s">
        <v>325</v>
      </c>
      <c r="N13" s="2317" t="s">
        <v>327</v>
      </c>
      <c r="O13" s="2387"/>
      <c r="P13" s="2317" t="s">
        <v>328</v>
      </c>
      <c r="Q13" s="2387"/>
      <c r="R13" s="2317" t="s">
        <v>109</v>
      </c>
      <c r="S13" s="2387"/>
    </row>
    <row r="14" spans="1:19" ht="14.25">
      <c r="A14" s="33"/>
      <c r="B14" s="33"/>
      <c r="C14" s="245" t="s">
        <v>326</v>
      </c>
      <c r="D14" s="39" t="s">
        <v>329</v>
      </c>
      <c r="E14" s="6" t="s">
        <v>330</v>
      </c>
      <c r="F14" s="39" t="s">
        <v>329</v>
      </c>
      <c r="G14" s="6" t="s">
        <v>330</v>
      </c>
      <c r="H14" s="5" t="s">
        <v>329</v>
      </c>
      <c r="I14" s="6" t="s">
        <v>330</v>
      </c>
      <c r="K14" s="33"/>
      <c r="L14" s="33"/>
      <c r="M14" s="245" t="s">
        <v>326</v>
      </c>
      <c r="N14" s="39" t="s">
        <v>329</v>
      </c>
      <c r="O14" s="6" t="s">
        <v>330</v>
      </c>
      <c r="P14" s="39" t="s">
        <v>329</v>
      </c>
      <c r="Q14" s="6" t="s">
        <v>330</v>
      </c>
      <c r="R14" s="5" t="s">
        <v>329</v>
      </c>
      <c r="S14" s="6" t="s">
        <v>330</v>
      </c>
    </row>
    <row r="15" spans="1:19" ht="14.25">
      <c r="A15" s="33"/>
      <c r="B15" s="33"/>
      <c r="C15" s="9"/>
      <c r="D15" s="246"/>
      <c r="E15" s="247"/>
      <c r="F15" s="246"/>
      <c r="G15" s="247"/>
      <c r="H15" s="1">
        <f>+D15+F15</f>
        <v>0</v>
      </c>
      <c r="I15" s="13">
        <f>+E15+G15</f>
        <v>0</v>
      </c>
      <c r="K15" s="33"/>
      <c r="L15" s="33"/>
      <c r="M15" s="9"/>
      <c r="N15" s="246"/>
      <c r="O15" s="247"/>
      <c r="P15" s="246"/>
      <c r="Q15" s="247"/>
      <c r="R15" s="1">
        <f>+N15+P15</f>
        <v>0</v>
      </c>
      <c r="S15" s="13">
        <f>+O15+Q15</f>
        <v>0</v>
      </c>
    </row>
    <row r="16" spans="1:19" ht="14.25">
      <c r="A16" s="33"/>
      <c r="B16" s="33"/>
      <c r="C16" s="9" t="s">
        <v>322</v>
      </c>
      <c r="D16" s="246"/>
      <c r="E16" s="247"/>
      <c r="F16" s="246"/>
      <c r="G16" s="247"/>
      <c r="H16" s="1">
        <f t="shared" ref="H16:H17" si="10">+D16+F16</f>
        <v>0</v>
      </c>
      <c r="I16" s="13">
        <f t="shared" ref="I16:I17" si="11">+E16+G16</f>
        <v>0</v>
      </c>
      <c r="K16" s="33"/>
      <c r="L16" s="33"/>
      <c r="M16" s="9" t="s">
        <v>322</v>
      </c>
      <c r="N16" s="246"/>
      <c r="O16" s="247"/>
      <c r="P16" s="246"/>
      <c r="Q16" s="247"/>
      <c r="R16" s="1">
        <f t="shared" ref="R16:R17" si="12">+N16+P16</f>
        <v>0</v>
      </c>
      <c r="S16" s="13">
        <f t="shared" ref="S16:S17" si="13">+O16+Q16</f>
        <v>0</v>
      </c>
    </row>
    <row r="17" spans="1:19" ht="14.25">
      <c r="A17" s="33"/>
      <c r="B17" s="33"/>
      <c r="C17" s="9" t="s">
        <v>323</v>
      </c>
      <c r="D17" s="246"/>
      <c r="E17" s="247"/>
      <c r="F17" s="246"/>
      <c r="G17" s="247"/>
      <c r="H17" s="1">
        <f t="shared" si="10"/>
        <v>0</v>
      </c>
      <c r="I17" s="13">
        <f t="shared" si="11"/>
        <v>0</v>
      </c>
      <c r="K17" s="33"/>
      <c r="L17" s="33"/>
      <c r="M17" s="9" t="s">
        <v>323</v>
      </c>
      <c r="N17" s="246"/>
      <c r="O17" s="247"/>
      <c r="P17" s="246"/>
      <c r="Q17" s="247"/>
      <c r="R17" s="1">
        <f t="shared" si="12"/>
        <v>0</v>
      </c>
      <c r="S17" s="13">
        <f t="shared" si="13"/>
        <v>0</v>
      </c>
    </row>
    <row r="18" spans="1:19" ht="14.25">
      <c r="A18" s="33"/>
      <c r="B18" s="33"/>
      <c r="C18" s="7" t="s">
        <v>324</v>
      </c>
      <c r="D18" s="7">
        <f>+SUM(D16:D17)</f>
        <v>0</v>
      </c>
      <c r="E18" s="14">
        <f t="shared" ref="E18" si="14">+SUM(E16:E17)</f>
        <v>0</v>
      </c>
      <c r="F18" s="7">
        <f t="shared" ref="F18" si="15">+SUM(F16:F17)</f>
        <v>0</v>
      </c>
      <c r="G18" s="14">
        <f t="shared" ref="G18" si="16">+SUM(G16:G17)</f>
        <v>0</v>
      </c>
      <c r="H18" s="8">
        <f t="shared" ref="H18" si="17">+SUM(H16:H17)</f>
        <v>0</v>
      </c>
      <c r="I18" s="14">
        <f t="shared" ref="I18" si="18">+SUM(I16:I17)</f>
        <v>0</v>
      </c>
      <c r="K18" s="33"/>
      <c r="L18" s="33"/>
      <c r="M18" s="7" t="s">
        <v>324</v>
      </c>
      <c r="N18" s="7">
        <f>+SUM(N16:N17)</f>
        <v>0</v>
      </c>
      <c r="O18" s="14">
        <f t="shared" ref="O18" si="19">+SUM(O16:O17)</f>
        <v>0</v>
      </c>
      <c r="P18" s="7">
        <f t="shared" ref="P18" si="20">+SUM(P16:P17)</f>
        <v>0</v>
      </c>
      <c r="Q18" s="14">
        <f t="shared" ref="Q18" si="21">+SUM(Q16:Q17)</f>
        <v>0</v>
      </c>
      <c r="R18" s="8">
        <f t="shared" ref="R18" si="22">+SUM(R16:R17)</f>
        <v>0</v>
      </c>
      <c r="S18" s="14">
        <f t="shared" ref="S18" si="23">+SUM(S16:S17)</f>
        <v>0</v>
      </c>
    </row>
    <row r="19" spans="1:19" ht="14.25">
      <c r="A19" s="33"/>
      <c r="B19" s="33"/>
      <c r="K19" s="33"/>
      <c r="L19" s="33"/>
      <c r="N19" s="196"/>
      <c r="O19" s="196"/>
      <c r="P19" s="196"/>
      <c r="Q19" s="196"/>
      <c r="R19" s="196"/>
    </row>
    <row r="20" spans="1:19">
      <c r="D20" s="248"/>
      <c r="E20" s="248"/>
      <c r="F20" s="248"/>
      <c r="G20" s="248"/>
      <c r="H20" s="248"/>
      <c r="I20" s="50"/>
      <c r="N20" s="248"/>
      <c r="O20" s="248"/>
      <c r="P20" s="248"/>
      <c r="Q20" s="248"/>
      <c r="R20" s="248"/>
      <c r="S20" s="50"/>
    </row>
    <row r="21" spans="1:19">
      <c r="A21" s="1" t="s">
        <v>332</v>
      </c>
      <c r="K21" s="1" t="s">
        <v>332</v>
      </c>
      <c r="N21" s="196"/>
      <c r="O21" s="196"/>
      <c r="P21" s="196"/>
      <c r="Q21" s="196"/>
      <c r="R21" s="196"/>
    </row>
    <row r="22" spans="1:19">
      <c r="N22" s="196"/>
      <c r="O22" s="196"/>
      <c r="P22" s="196"/>
      <c r="Q22" s="196"/>
      <c r="R22" s="196"/>
    </row>
    <row r="23" spans="1:19">
      <c r="N23" s="196"/>
      <c r="O23" s="196"/>
      <c r="P23" s="196"/>
      <c r="Q23" s="196"/>
      <c r="R23" s="196"/>
    </row>
    <row r="24" spans="1:19" ht="24.75" customHeight="1">
      <c r="A24" s="243">
        <f>+Datos!D6</f>
        <v>45657</v>
      </c>
      <c r="C24" s="244" t="s">
        <v>325</v>
      </c>
      <c r="D24" s="2382" t="s">
        <v>333</v>
      </c>
      <c r="E24" s="2383"/>
      <c r="F24" s="2384" t="s">
        <v>334</v>
      </c>
      <c r="G24" s="2385"/>
      <c r="H24" s="2386" t="s">
        <v>109</v>
      </c>
      <c r="I24" s="2385"/>
      <c r="K24" s="243">
        <f>+Datos!D6</f>
        <v>45657</v>
      </c>
      <c r="M24" s="244" t="s">
        <v>325</v>
      </c>
      <c r="N24" s="2382" t="s">
        <v>333</v>
      </c>
      <c r="O24" s="2383"/>
      <c r="P24" s="2384" t="s">
        <v>334</v>
      </c>
      <c r="Q24" s="2385"/>
      <c r="R24" s="2386" t="s">
        <v>109</v>
      </c>
      <c r="S24" s="2385"/>
    </row>
    <row r="25" spans="1:19" ht="14.25">
      <c r="A25" s="33"/>
      <c r="C25" s="245" t="s">
        <v>326</v>
      </c>
      <c r="D25" s="39" t="s">
        <v>329</v>
      </c>
      <c r="E25" s="6" t="s">
        <v>330</v>
      </c>
      <c r="F25" s="5" t="s">
        <v>329</v>
      </c>
      <c r="G25" s="6" t="s">
        <v>330</v>
      </c>
      <c r="H25" s="39" t="s">
        <v>329</v>
      </c>
      <c r="I25" s="6" t="s">
        <v>330</v>
      </c>
      <c r="K25" s="33"/>
      <c r="M25" s="245" t="s">
        <v>326</v>
      </c>
      <c r="N25" s="39" t="s">
        <v>329</v>
      </c>
      <c r="O25" s="6" t="s">
        <v>330</v>
      </c>
      <c r="P25" s="5" t="s">
        <v>329</v>
      </c>
      <c r="Q25" s="6" t="s">
        <v>330</v>
      </c>
      <c r="R25" s="39" t="s">
        <v>329</v>
      </c>
      <c r="S25" s="6" t="s">
        <v>330</v>
      </c>
    </row>
    <row r="26" spans="1:19" ht="14.25">
      <c r="A26" s="33"/>
      <c r="C26" s="9"/>
      <c r="D26" s="246"/>
      <c r="E26" s="247"/>
      <c r="H26" s="1">
        <f>+D26+F26</f>
        <v>0</v>
      </c>
      <c r="I26" s="13">
        <f>+E26+G26</f>
        <v>0</v>
      </c>
      <c r="K26" s="33"/>
      <c r="M26" s="9"/>
      <c r="N26" s="246"/>
      <c r="O26" s="247"/>
      <c r="P26" s="196"/>
      <c r="Q26" s="196"/>
      <c r="R26" s="1">
        <f>+N26+P26</f>
        <v>0</v>
      </c>
      <c r="S26" s="13">
        <f>+O26+Q26</f>
        <v>0</v>
      </c>
    </row>
    <row r="27" spans="1:19" ht="14.25">
      <c r="A27" s="33"/>
      <c r="C27" s="9" t="s">
        <v>322</v>
      </c>
      <c r="D27" s="246"/>
      <c r="E27" s="247"/>
      <c r="H27" s="1">
        <f t="shared" ref="H27:H28" si="24">+D27+F27</f>
        <v>0</v>
      </c>
      <c r="I27" s="13">
        <f t="shared" ref="I27:I28" si="25">+E27+G27</f>
        <v>0</v>
      </c>
      <c r="K27" s="33"/>
      <c r="M27" s="9" t="s">
        <v>322</v>
      </c>
      <c r="N27" s="246"/>
      <c r="O27" s="247"/>
      <c r="P27" s="196"/>
      <c r="Q27" s="196"/>
      <c r="R27" s="1">
        <f t="shared" ref="R27:R28" si="26">+N27+P27</f>
        <v>0</v>
      </c>
      <c r="S27" s="13">
        <f t="shared" ref="S27:S28" si="27">+O27+Q27</f>
        <v>0</v>
      </c>
    </row>
    <row r="28" spans="1:19" ht="14.25">
      <c r="A28" s="33"/>
      <c r="C28" s="9" t="s">
        <v>323</v>
      </c>
      <c r="D28" s="246"/>
      <c r="E28" s="247"/>
      <c r="H28" s="1">
        <f t="shared" si="24"/>
        <v>0</v>
      </c>
      <c r="I28" s="13">
        <f t="shared" si="25"/>
        <v>0</v>
      </c>
      <c r="K28" s="33"/>
      <c r="M28" s="9" t="s">
        <v>323</v>
      </c>
      <c r="N28" s="246"/>
      <c r="O28" s="247"/>
      <c r="P28" s="196"/>
      <c r="Q28" s="196"/>
      <c r="R28" s="1">
        <f t="shared" si="26"/>
        <v>0</v>
      </c>
      <c r="S28" s="13">
        <f t="shared" si="27"/>
        <v>0</v>
      </c>
    </row>
    <row r="29" spans="1:19" ht="14.25">
      <c r="A29" s="33"/>
      <c r="C29" s="7" t="s">
        <v>324</v>
      </c>
      <c r="D29" s="7">
        <f>+SUM(D27:D28)</f>
        <v>0</v>
      </c>
      <c r="E29" s="14">
        <f t="shared" ref="E29" si="28">+SUM(E27:E28)</f>
        <v>0</v>
      </c>
      <c r="F29" s="8">
        <f t="shared" ref="F29" si="29">+SUM(F27:F28)</f>
        <v>0</v>
      </c>
      <c r="G29" s="14">
        <f t="shared" ref="G29" si="30">+SUM(G27:G28)</f>
        <v>0</v>
      </c>
      <c r="H29" s="8">
        <f t="shared" ref="H29" si="31">+SUM(H27:H28)</f>
        <v>0</v>
      </c>
      <c r="I29" s="14">
        <f t="shared" ref="I29" si="32">+SUM(I27:I28)</f>
        <v>0</v>
      </c>
      <c r="K29" s="33"/>
      <c r="M29" s="7" t="s">
        <v>324</v>
      </c>
      <c r="N29" s="7">
        <f>+SUM(N27:N28)</f>
        <v>0</v>
      </c>
      <c r="O29" s="14">
        <f t="shared" ref="O29" si="33">+SUM(O27:O28)</f>
        <v>0</v>
      </c>
      <c r="P29" s="8">
        <f t="shared" ref="P29" si="34">+SUM(P27:P28)</f>
        <v>0</v>
      </c>
      <c r="Q29" s="14">
        <f t="shared" ref="Q29" si="35">+SUM(Q27:Q28)</f>
        <v>0</v>
      </c>
      <c r="R29" s="8">
        <f t="shared" ref="R29" si="36">+SUM(R27:R28)</f>
        <v>0</v>
      </c>
      <c r="S29" s="14">
        <f t="shared" ref="S29" si="37">+SUM(S27:S28)</f>
        <v>0</v>
      </c>
    </row>
    <row r="30" spans="1:19" ht="14.25">
      <c r="A30" s="33"/>
      <c r="K30" s="33"/>
      <c r="N30" s="196"/>
      <c r="O30" s="196"/>
      <c r="P30" s="196"/>
      <c r="Q30" s="196"/>
      <c r="R30" s="196"/>
    </row>
    <row r="31" spans="1:19" ht="14.25">
      <c r="A31" s="243">
        <f>+Datos!E6</f>
        <v>45291</v>
      </c>
      <c r="C31" s="244" t="s">
        <v>325</v>
      </c>
      <c r="D31" s="2382" t="s">
        <v>333</v>
      </c>
      <c r="E31" s="2383"/>
      <c r="F31" s="2384" t="s">
        <v>334</v>
      </c>
      <c r="G31" s="2385"/>
      <c r="H31" s="2386" t="s">
        <v>109</v>
      </c>
      <c r="I31" s="2385"/>
      <c r="K31" s="243">
        <f>+Datos!E6</f>
        <v>45291</v>
      </c>
      <c r="M31" s="244" t="s">
        <v>325</v>
      </c>
      <c r="N31" s="2382" t="s">
        <v>333</v>
      </c>
      <c r="O31" s="2383"/>
      <c r="P31" s="2384" t="s">
        <v>334</v>
      </c>
      <c r="Q31" s="2385"/>
      <c r="R31" s="2386" t="s">
        <v>109</v>
      </c>
      <c r="S31" s="2385"/>
    </row>
    <row r="32" spans="1:19" ht="14.25">
      <c r="A32" s="33"/>
      <c r="C32" s="245" t="s">
        <v>326</v>
      </c>
      <c r="D32" s="39" t="s">
        <v>329</v>
      </c>
      <c r="E32" s="6" t="s">
        <v>330</v>
      </c>
      <c r="F32" s="5" t="s">
        <v>329</v>
      </c>
      <c r="G32" s="6" t="s">
        <v>330</v>
      </c>
      <c r="H32" s="39" t="s">
        <v>329</v>
      </c>
      <c r="I32" s="6" t="s">
        <v>330</v>
      </c>
      <c r="K32" s="33"/>
      <c r="M32" s="245" t="s">
        <v>326</v>
      </c>
      <c r="N32" s="39" t="s">
        <v>329</v>
      </c>
      <c r="O32" s="6" t="s">
        <v>330</v>
      </c>
      <c r="P32" s="5" t="s">
        <v>329</v>
      </c>
      <c r="Q32" s="6" t="s">
        <v>330</v>
      </c>
      <c r="R32" s="39" t="s">
        <v>329</v>
      </c>
      <c r="S32" s="6" t="s">
        <v>330</v>
      </c>
    </row>
    <row r="33" spans="1:19" ht="14.25">
      <c r="A33" s="33"/>
      <c r="C33" s="9"/>
      <c r="D33" s="246"/>
      <c r="E33" s="247"/>
      <c r="H33" s="1">
        <f>+D33+F33</f>
        <v>0</v>
      </c>
      <c r="I33" s="13">
        <f>+E33+G33</f>
        <v>0</v>
      </c>
      <c r="K33" s="33"/>
      <c r="M33" s="9"/>
      <c r="N33" s="246"/>
      <c r="O33" s="247"/>
      <c r="P33" s="196"/>
      <c r="Q33" s="196"/>
      <c r="R33" s="1">
        <f>+N33+P33</f>
        <v>0</v>
      </c>
      <c r="S33" s="13">
        <f>+O33+Q33</f>
        <v>0</v>
      </c>
    </row>
    <row r="34" spans="1:19" ht="14.25">
      <c r="A34" s="33"/>
      <c r="C34" s="9" t="s">
        <v>322</v>
      </c>
      <c r="D34" s="246"/>
      <c r="E34" s="247"/>
      <c r="H34" s="1">
        <f t="shared" ref="H34:H35" si="38">+D34+F34</f>
        <v>0</v>
      </c>
      <c r="I34" s="13">
        <f t="shared" ref="I34:I35" si="39">+E34+G34</f>
        <v>0</v>
      </c>
      <c r="K34" s="33"/>
      <c r="M34" s="9" t="s">
        <v>322</v>
      </c>
      <c r="N34" s="246"/>
      <c r="O34" s="247"/>
      <c r="P34" s="196"/>
      <c r="Q34" s="196"/>
      <c r="R34" s="1">
        <f t="shared" ref="R34:R35" si="40">+N34+P34</f>
        <v>0</v>
      </c>
      <c r="S34" s="13">
        <f t="shared" ref="S34:S35" si="41">+O34+Q34</f>
        <v>0</v>
      </c>
    </row>
    <row r="35" spans="1:19" ht="14.25">
      <c r="A35" s="33"/>
      <c r="C35" s="9" t="s">
        <v>323</v>
      </c>
      <c r="D35" s="246"/>
      <c r="E35" s="247"/>
      <c r="H35" s="1">
        <f t="shared" si="38"/>
        <v>0</v>
      </c>
      <c r="I35" s="13">
        <f t="shared" si="39"/>
        <v>0</v>
      </c>
      <c r="K35" s="33"/>
      <c r="M35" s="9" t="s">
        <v>323</v>
      </c>
      <c r="N35" s="246"/>
      <c r="O35" s="247"/>
      <c r="P35" s="196"/>
      <c r="Q35" s="196"/>
      <c r="R35" s="1">
        <f t="shared" si="40"/>
        <v>0</v>
      </c>
      <c r="S35" s="13">
        <f t="shared" si="41"/>
        <v>0</v>
      </c>
    </row>
    <row r="36" spans="1:19" ht="14.25">
      <c r="A36" s="33"/>
      <c r="C36" s="7" t="s">
        <v>324</v>
      </c>
      <c r="D36" s="7">
        <f>+SUM(D34:D35)</f>
        <v>0</v>
      </c>
      <c r="E36" s="14">
        <f t="shared" ref="E36" si="42">+SUM(E34:E35)</f>
        <v>0</v>
      </c>
      <c r="F36" s="8">
        <f t="shared" ref="F36" si="43">+SUM(F34:F35)</f>
        <v>0</v>
      </c>
      <c r="G36" s="14">
        <f t="shared" ref="G36" si="44">+SUM(G34:G35)</f>
        <v>0</v>
      </c>
      <c r="H36" s="8">
        <f t="shared" ref="H36" si="45">+SUM(H34:H35)</f>
        <v>0</v>
      </c>
      <c r="I36" s="14">
        <f t="shared" ref="I36" si="46">+SUM(I34:I35)</f>
        <v>0</v>
      </c>
      <c r="K36" s="33"/>
      <c r="M36" s="7" t="s">
        <v>324</v>
      </c>
      <c r="N36" s="7">
        <f>+SUM(N34:N35)</f>
        <v>0</v>
      </c>
      <c r="O36" s="14">
        <f t="shared" ref="O36" si="47">+SUM(O34:O35)</f>
        <v>0</v>
      </c>
      <c r="P36" s="8">
        <f t="shared" ref="P36" si="48">+SUM(P34:P35)</f>
        <v>0</v>
      </c>
      <c r="Q36" s="14">
        <f t="shared" ref="Q36" si="49">+SUM(Q34:Q35)</f>
        <v>0</v>
      </c>
      <c r="R36" s="8">
        <f t="shared" ref="R36" si="50">+SUM(R34:R35)</f>
        <v>0</v>
      </c>
      <c r="S36" s="14">
        <f t="shared" ref="S36" si="51">+SUM(S34:S35)</f>
        <v>0</v>
      </c>
    </row>
    <row r="37" spans="1:19" ht="14.25">
      <c r="A37" s="33"/>
      <c r="K37" s="33"/>
      <c r="N37" s="196"/>
      <c r="O37" s="196"/>
      <c r="P37" s="196"/>
      <c r="Q37" s="196"/>
      <c r="R37" s="196"/>
    </row>
    <row r="38" spans="1:19">
      <c r="N38" s="196"/>
      <c r="O38" s="196"/>
      <c r="P38" s="196"/>
      <c r="Q38" s="196"/>
      <c r="R38" s="196"/>
    </row>
    <row r="39" spans="1:19">
      <c r="N39" s="196"/>
      <c r="O39" s="196"/>
      <c r="P39" s="196"/>
      <c r="Q39" s="196"/>
      <c r="R39" s="196"/>
    </row>
    <row r="40" spans="1:19">
      <c r="C40" s="249" t="s">
        <v>201</v>
      </c>
      <c r="D40" s="250"/>
      <c r="E40" s="250"/>
      <c r="F40" s="250"/>
      <c r="G40" s="250"/>
      <c r="H40" s="250"/>
      <c r="I40" s="251" t="e">
        <f>+I11+I29-'Est Situacion'!#REF!</f>
        <v>#REF!</v>
      </c>
      <c r="M40" s="249" t="s">
        <v>201</v>
      </c>
      <c r="N40" s="250"/>
      <c r="O40" s="250"/>
      <c r="P40" s="250"/>
      <c r="Q40" s="250"/>
      <c r="R40" s="250"/>
      <c r="S40" s="251" t="e">
        <f>+S11+S29-'Est Situacion'!#REF!</f>
        <v>#REF!</v>
      </c>
    </row>
    <row r="41" spans="1:19">
      <c r="C41" s="3" t="s">
        <v>201</v>
      </c>
      <c r="D41" s="252"/>
      <c r="E41" s="252"/>
      <c r="F41" s="252"/>
      <c r="G41" s="252"/>
      <c r="H41" s="252"/>
      <c r="I41" s="17" t="e">
        <f>+I18+I36-'Est Situacion'!#REF!</f>
        <v>#REF!</v>
      </c>
      <c r="M41" s="3" t="s">
        <v>201</v>
      </c>
      <c r="N41" s="252"/>
      <c r="O41" s="252"/>
      <c r="P41" s="252"/>
      <c r="Q41" s="252"/>
      <c r="R41" s="252"/>
      <c r="S41" s="17" t="e">
        <f>+S18+S36-'Est Situacion'!#REF!</f>
        <v>#REF!</v>
      </c>
    </row>
  </sheetData>
  <sheetProtection password="DF8B" sheet="1" objects="1" scenarios="1"/>
  <mergeCells count="24">
    <mergeCell ref="D6:E6"/>
    <mergeCell ref="F6:G6"/>
    <mergeCell ref="H6:I6"/>
    <mergeCell ref="R6:S6"/>
    <mergeCell ref="N13:O13"/>
    <mergeCell ref="P13:Q13"/>
    <mergeCell ref="R13:S13"/>
    <mergeCell ref="N6:O6"/>
    <mergeCell ref="P6:Q6"/>
    <mergeCell ref="D13:E13"/>
    <mergeCell ref="F13:G13"/>
    <mergeCell ref="H13:I13"/>
    <mergeCell ref="D24:E24"/>
    <mergeCell ref="F24:G24"/>
    <mergeCell ref="H24:I24"/>
    <mergeCell ref="D31:E31"/>
    <mergeCell ref="F31:G31"/>
    <mergeCell ref="H31:I31"/>
    <mergeCell ref="N24:O24"/>
    <mergeCell ref="P24:Q24"/>
    <mergeCell ref="R24:S24"/>
    <mergeCell ref="N31:O31"/>
    <mergeCell ref="P31:Q31"/>
    <mergeCell ref="R31:S31"/>
  </mergeCells>
  <hyperlinks>
    <hyperlink ref="G1" location="'Est Situacion'!A1" display="Volver" xr:uid="{00000000-0004-0000-2500-000000000000}"/>
  </hyperlinks>
  <pageMargins left="0.70866141732283472" right="0.70866141732283472" top="0.74803149606299213" bottom="0.74803149606299213" header="0.31496062992125984" footer="0.31496062992125984"/>
  <pageSetup scale="65" fitToWidth="2" orientation="landscape" r:id="rId1"/>
  <colBreaks count="1" manualBreakCount="1">
    <brk id="10"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40"/>
  <dimension ref="A1:AE128"/>
  <sheetViews>
    <sheetView showGridLines="0" workbookViewId="0">
      <selection activeCell="F23" sqref="F23"/>
    </sheetView>
  </sheetViews>
  <sheetFormatPr baseColWidth="10" defaultRowHeight="14.25"/>
  <cols>
    <col min="2" max="2" width="43.19921875" customWidth="1"/>
    <col min="12" max="12" width="22.796875" bestFit="1" customWidth="1"/>
    <col min="15" max="15" width="11.46484375" style="541"/>
    <col min="30" max="31" width="11.46484375" style="555"/>
  </cols>
  <sheetData>
    <row r="1" spans="1:31">
      <c r="A1" t="s">
        <v>641</v>
      </c>
      <c r="B1" s="1"/>
      <c r="C1" s="1"/>
      <c r="D1" s="73" t="s">
        <v>417</v>
      </c>
      <c r="E1" s="1"/>
      <c r="F1" s="1"/>
      <c r="G1" s="1"/>
      <c r="H1" s="1"/>
      <c r="I1" s="1"/>
      <c r="J1" t="s">
        <v>641</v>
      </c>
      <c r="K1" s="1"/>
      <c r="L1" s="1"/>
      <c r="M1" s="1"/>
      <c r="N1" s="1"/>
      <c r="O1" s="1"/>
      <c r="P1" s="152"/>
      <c r="Q1" s="152"/>
      <c r="R1" s="152"/>
      <c r="S1" s="152"/>
      <c r="T1" s="152"/>
      <c r="U1" s="152"/>
      <c r="V1" s="152"/>
      <c r="W1" s="152"/>
      <c r="X1" s="152"/>
      <c r="Y1" s="152"/>
      <c r="Z1" s="152"/>
      <c r="AA1" s="152"/>
      <c r="AB1" s="152"/>
      <c r="AC1" s="152"/>
      <c r="AD1" s="152"/>
      <c r="AE1" s="152"/>
    </row>
    <row r="2" spans="1:31">
      <c r="A2" s="1"/>
      <c r="B2" s="1"/>
      <c r="C2" s="1"/>
      <c r="D2" s="1"/>
      <c r="E2" s="1"/>
      <c r="F2" s="1"/>
      <c r="G2" s="1"/>
      <c r="H2" s="1"/>
      <c r="I2" s="1"/>
      <c r="J2" s="1"/>
      <c r="K2" s="1"/>
      <c r="L2" s="1"/>
      <c r="M2" s="1"/>
      <c r="N2" s="1"/>
      <c r="O2" s="1"/>
      <c r="P2" s="152"/>
      <c r="Q2" s="152"/>
      <c r="R2" s="152"/>
      <c r="S2" s="152"/>
      <c r="T2" s="152"/>
      <c r="U2" s="152"/>
      <c r="V2" s="152"/>
      <c r="W2" s="152"/>
      <c r="X2" s="152"/>
      <c r="Y2" s="152"/>
      <c r="Z2" s="152"/>
      <c r="AA2" s="152"/>
      <c r="AB2" s="152"/>
      <c r="AC2" s="152"/>
      <c r="AD2" s="152"/>
      <c r="AE2" s="152"/>
    </row>
    <row r="3" spans="1:31">
      <c r="A3" s="1" t="s">
        <v>340</v>
      </c>
      <c r="B3" s="1" t="s">
        <v>343</v>
      </c>
      <c r="C3" s="1"/>
      <c r="D3" s="1"/>
      <c r="E3" s="1"/>
      <c r="F3" s="1"/>
      <c r="G3" s="1"/>
      <c r="H3" s="1"/>
      <c r="I3" s="1"/>
      <c r="J3" s="1"/>
      <c r="K3" s="61" t="s">
        <v>504</v>
      </c>
      <c r="L3" s="62"/>
      <c r="M3" s="62"/>
      <c r="N3" s="62"/>
      <c r="O3" s="62"/>
      <c r="P3" s="2388"/>
      <c r="Q3" s="2388"/>
      <c r="R3" s="2388"/>
      <c r="S3" s="2388"/>
      <c r="T3" s="2388"/>
      <c r="U3" s="2388"/>
      <c r="V3" s="2388"/>
      <c r="W3" s="2388"/>
      <c r="X3" s="2388"/>
      <c r="Y3" s="2388"/>
      <c r="Z3" s="2388"/>
      <c r="AA3" s="378"/>
      <c r="AB3" s="378"/>
      <c r="AC3" s="378"/>
      <c r="AD3" s="378"/>
      <c r="AE3" s="378"/>
    </row>
    <row r="4" spans="1:31">
      <c r="A4" s="1"/>
      <c r="B4" s="1295"/>
      <c r="C4" s="2331" t="s">
        <v>319</v>
      </c>
      <c r="D4" s="2332"/>
      <c r="E4" s="2331" t="s">
        <v>199</v>
      </c>
      <c r="F4" s="2332"/>
      <c r="G4" s="2331" t="s">
        <v>199</v>
      </c>
      <c r="H4" s="2332"/>
      <c r="I4" s="1"/>
      <c r="J4" s="1"/>
      <c r="K4" s="78">
        <f>+C6</f>
        <v>45657</v>
      </c>
      <c r="L4" s="62"/>
      <c r="M4" s="62"/>
      <c r="N4" s="62"/>
      <c r="O4" s="62"/>
      <c r="P4" s="2389"/>
      <c r="Q4" s="2389"/>
      <c r="R4" s="2389"/>
      <c r="S4" s="2389"/>
      <c r="T4" s="2389"/>
      <c r="U4" s="2389"/>
      <c r="V4" s="2389"/>
      <c r="W4" s="2389"/>
      <c r="X4" s="2389"/>
      <c r="Y4" s="2389"/>
      <c r="Z4" s="2389"/>
      <c r="AA4" s="378"/>
      <c r="AB4" s="378"/>
      <c r="AC4" s="378"/>
      <c r="AD4" s="378"/>
      <c r="AE4" s="378"/>
    </row>
    <row r="5" spans="1:31" ht="39.4">
      <c r="A5" s="1"/>
      <c r="B5" s="1325"/>
      <c r="C5" s="1354" t="s">
        <v>491</v>
      </c>
      <c r="D5" s="1343" t="s">
        <v>503</v>
      </c>
      <c r="E5" s="1354" t="s">
        <v>491</v>
      </c>
      <c r="F5" s="1343" t="s">
        <v>503</v>
      </c>
      <c r="G5" s="1354" t="s">
        <v>491</v>
      </c>
      <c r="H5" s="1343" t="s">
        <v>503</v>
      </c>
      <c r="I5" s="1"/>
      <c r="J5" s="1"/>
      <c r="K5" s="1271" t="s">
        <v>513</v>
      </c>
      <c r="L5" s="1297" t="s">
        <v>514</v>
      </c>
      <c r="M5" s="1297" t="s">
        <v>131</v>
      </c>
      <c r="N5" s="1297" t="s">
        <v>506</v>
      </c>
      <c r="O5" s="1297" t="s">
        <v>515</v>
      </c>
      <c r="P5" s="1379" t="s">
        <v>516</v>
      </c>
      <c r="Q5" s="1379" t="s">
        <v>517</v>
      </c>
      <c r="R5" s="1380" t="s">
        <v>518</v>
      </c>
      <c r="S5" s="1379" t="s">
        <v>519</v>
      </c>
      <c r="T5" s="1380" t="s">
        <v>520</v>
      </c>
      <c r="U5" s="1379" t="s">
        <v>521</v>
      </c>
      <c r="V5" s="1379" t="s">
        <v>799</v>
      </c>
      <c r="W5" s="1379" t="s">
        <v>800</v>
      </c>
      <c r="X5" s="1379" t="s">
        <v>512</v>
      </c>
      <c r="Y5" s="1381" t="s">
        <v>344</v>
      </c>
      <c r="Z5" s="1379" t="s">
        <v>522</v>
      </c>
      <c r="AA5" s="1382" t="s">
        <v>523</v>
      </c>
      <c r="AB5" s="1380" t="s">
        <v>524</v>
      </c>
      <c r="AC5" s="1380" t="s">
        <v>525</v>
      </c>
      <c r="AD5" s="2390" t="s">
        <v>505</v>
      </c>
      <c r="AE5" s="2391"/>
    </row>
    <row r="6" spans="1:31">
      <c r="A6" s="1"/>
      <c r="B6" s="1267" t="s">
        <v>341</v>
      </c>
      <c r="C6" s="1288">
        <f>+Datos!D6</f>
        <v>45657</v>
      </c>
      <c r="D6" s="1289">
        <f>+Datos!D6</f>
        <v>45657</v>
      </c>
      <c r="E6" s="1288">
        <f>+Datos!E6</f>
        <v>45291</v>
      </c>
      <c r="F6" s="1289">
        <f>+Datos!E6</f>
        <v>45291</v>
      </c>
      <c r="G6" s="1288">
        <f>+Datos!F6</f>
        <v>44927</v>
      </c>
      <c r="H6" s="1289">
        <f>+Datos!F6</f>
        <v>44927</v>
      </c>
      <c r="I6" s="1"/>
      <c r="J6" s="1"/>
      <c r="K6" s="1270"/>
      <c r="L6" s="1221"/>
      <c r="M6" s="1221" t="s">
        <v>798</v>
      </c>
      <c r="N6" s="1221"/>
      <c r="O6" s="1221" t="s">
        <v>797</v>
      </c>
      <c r="P6" s="1383" t="s">
        <v>20</v>
      </c>
      <c r="Q6" s="1383" t="s">
        <v>20</v>
      </c>
      <c r="R6" s="1384" t="s">
        <v>20</v>
      </c>
      <c r="S6" s="1383" t="s">
        <v>20</v>
      </c>
      <c r="T6" s="1384" t="s">
        <v>20</v>
      </c>
      <c r="U6" s="1383" t="s">
        <v>20</v>
      </c>
      <c r="V6" s="1383" t="s">
        <v>20</v>
      </c>
      <c r="W6" s="1383" t="s">
        <v>20</v>
      </c>
      <c r="X6" s="1383" t="s">
        <v>20</v>
      </c>
      <c r="Y6" s="1384" t="s">
        <v>20</v>
      </c>
      <c r="Z6" s="1383" t="s">
        <v>20</v>
      </c>
      <c r="AA6" s="1385"/>
      <c r="AB6" s="1384" t="s">
        <v>509</v>
      </c>
      <c r="AC6" s="1384" t="s">
        <v>20</v>
      </c>
      <c r="AD6" s="1385" t="s">
        <v>507</v>
      </c>
      <c r="AE6" s="1386" t="s">
        <v>508</v>
      </c>
    </row>
    <row r="7" spans="1:31">
      <c r="A7" s="1"/>
      <c r="B7" s="1276"/>
      <c r="C7" s="1270" t="s">
        <v>20</v>
      </c>
      <c r="D7" s="1277" t="s">
        <v>20</v>
      </c>
      <c r="E7" s="1270" t="s">
        <v>20</v>
      </c>
      <c r="F7" s="1277" t="s">
        <v>20</v>
      </c>
      <c r="G7" s="1270" t="s">
        <v>20</v>
      </c>
      <c r="H7" s="1277" t="s">
        <v>20</v>
      </c>
      <c r="I7" s="1"/>
      <c r="J7" s="1"/>
      <c r="K7" s="64"/>
      <c r="L7" s="65"/>
      <c r="M7" s="65"/>
      <c r="N7" s="65"/>
      <c r="O7" s="513"/>
      <c r="P7" s="379"/>
      <c r="Q7" s="379"/>
      <c r="R7" s="456"/>
      <c r="S7" s="379"/>
      <c r="T7" s="456"/>
      <c r="U7" s="379"/>
      <c r="V7" s="379"/>
      <c r="W7" s="379"/>
      <c r="X7" s="380"/>
      <c r="Y7" s="379"/>
      <c r="Z7" s="379"/>
      <c r="AA7" s="456"/>
      <c r="AB7" s="515"/>
      <c r="AC7" s="456"/>
      <c r="AD7" s="542"/>
      <c r="AE7" s="543"/>
    </row>
    <row r="8" spans="1:31">
      <c r="A8" s="1"/>
      <c r="B8" s="1"/>
      <c r="C8" s="321"/>
      <c r="D8" s="320"/>
      <c r="E8" s="315"/>
      <c r="F8" s="315"/>
      <c r="G8" s="315"/>
      <c r="H8" s="315"/>
      <c r="I8" s="1"/>
      <c r="J8" s="1"/>
      <c r="K8" s="57"/>
      <c r="L8" s="62"/>
      <c r="M8" s="65"/>
      <c r="N8" s="62"/>
      <c r="O8" s="514"/>
      <c r="P8" s="381"/>
      <c r="Q8" s="381"/>
      <c r="R8" s="378"/>
      <c r="S8" s="382">
        <f t="shared" ref="S8:S61" si="0">+SUM(P8:R8)</f>
        <v>0</v>
      </c>
      <c r="T8" s="381"/>
      <c r="U8" s="381"/>
      <c r="V8" s="381"/>
      <c r="W8" s="381"/>
      <c r="X8" s="383"/>
      <c r="Y8" s="381"/>
      <c r="Z8" s="382">
        <f>SUM(T8:Y8)</f>
        <v>0</v>
      </c>
      <c r="AA8" s="384"/>
      <c r="AB8" s="516"/>
      <c r="AC8" s="386"/>
      <c r="AD8" s="519"/>
      <c r="AE8" s="544"/>
    </row>
    <row r="9" spans="1:31">
      <c r="A9" s="1"/>
      <c r="B9" s="1" t="s">
        <v>336</v>
      </c>
      <c r="C9" s="321"/>
      <c r="D9" s="320"/>
      <c r="E9" s="315"/>
      <c r="F9" s="315"/>
      <c r="G9" s="315"/>
      <c r="H9" s="315"/>
      <c r="I9" s="1"/>
      <c r="J9" s="1"/>
      <c r="K9" s="57"/>
      <c r="L9" s="62"/>
      <c r="M9" s="65"/>
      <c r="N9" s="62"/>
      <c r="O9" s="514"/>
      <c r="P9" s="381"/>
      <c r="Q9" s="381"/>
      <c r="R9" s="378"/>
      <c r="S9" s="382">
        <f t="shared" si="0"/>
        <v>0</v>
      </c>
      <c r="T9" s="381"/>
      <c r="U9" s="381"/>
      <c r="V9" s="381"/>
      <c r="W9" s="381"/>
      <c r="X9" s="383"/>
      <c r="Y9" s="381"/>
      <c r="Z9" s="382">
        <f t="shared" ref="Z9:Z62" si="1">SUM(T9:Y9)</f>
        <v>0</v>
      </c>
      <c r="AA9" s="384"/>
      <c r="AB9" s="516"/>
      <c r="AC9" s="386"/>
      <c r="AD9" s="519"/>
      <c r="AE9" s="544"/>
    </row>
    <row r="10" spans="1:31">
      <c r="A10" s="1"/>
      <c r="B10" s="1" t="s">
        <v>337</v>
      </c>
      <c r="C10" s="321"/>
      <c r="D10" s="320"/>
      <c r="E10" s="315"/>
      <c r="F10" s="315"/>
      <c r="G10" s="315"/>
      <c r="H10" s="315"/>
      <c r="I10" s="1"/>
      <c r="J10" s="1"/>
      <c r="K10" s="57"/>
      <c r="L10" s="62"/>
      <c r="M10" s="65"/>
      <c r="N10" s="62"/>
      <c r="O10" s="514"/>
      <c r="P10" s="381"/>
      <c r="Q10" s="381"/>
      <c r="R10" s="378"/>
      <c r="S10" s="382">
        <f t="shared" si="0"/>
        <v>0</v>
      </c>
      <c r="T10" s="381"/>
      <c r="U10" s="381"/>
      <c r="V10" s="381"/>
      <c r="W10" s="381"/>
      <c r="X10" s="383"/>
      <c r="Y10" s="381"/>
      <c r="Z10" s="382">
        <f t="shared" si="1"/>
        <v>0</v>
      </c>
      <c r="AA10" s="384"/>
      <c r="AB10" s="516"/>
      <c r="AC10" s="386"/>
      <c r="AD10" s="545"/>
      <c r="AE10" s="544"/>
    </row>
    <row r="11" spans="1:31">
      <c r="A11" s="1"/>
      <c r="B11" s="1" t="s">
        <v>338</v>
      </c>
      <c r="C11" s="321"/>
      <c r="D11" s="320"/>
      <c r="E11" s="315"/>
      <c r="F11" s="315"/>
      <c r="G11" s="315"/>
      <c r="H11" s="315"/>
      <c r="I11" s="1"/>
      <c r="J11" s="1"/>
      <c r="K11" s="57"/>
      <c r="L11" s="62"/>
      <c r="M11" s="65"/>
      <c r="N11" s="62"/>
      <c r="O11" s="514"/>
      <c r="P11" s="381"/>
      <c r="Q11" s="381"/>
      <c r="R11" s="378"/>
      <c r="S11" s="382">
        <f t="shared" si="0"/>
        <v>0</v>
      </c>
      <c r="T11" s="381"/>
      <c r="U11" s="381"/>
      <c r="V11" s="381"/>
      <c r="W11" s="381"/>
      <c r="X11" s="383"/>
      <c r="Y11" s="381"/>
      <c r="Z11" s="382">
        <f t="shared" si="1"/>
        <v>0</v>
      </c>
      <c r="AA11" s="384"/>
      <c r="AB11" s="516"/>
      <c r="AC11" s="386"/>
      <c r="AD11" s="545"/>
      <c r="AE11" s="544"/>
    </row>
    <row r="12" spans="1:31">
      <c r="A12" s="1"/>
      <c r="B12" s="1" t="s">
        <v>339</v>
      </c>
      <c r="C12" s="321"/>
      <c r="D12" s="320"/>
      <c r="E12" s="315"/>
      <c r="F12" s="315"/>
      <c r="G12" s="315"/>
      <c r="H12" s="315"/>
      <c r="I12" s="1"/>
      <c r="J12" s="1"/>
      <c r="K12" s="57"/>
      <c r="L12" s="62"/>
      <c r="M12" s="65"/>
      <c r="N12" s="62"/>
      <c r="O12" s="514"/>
      <c r="P12" s="381"/>
      <c r="Q12" s="381"/>
      <c r="R12" s="378"/>
      <c r="S12" s="382">
        <f t="shared" si="0"/>
        <v>0</v>
      </c>
      <c r="T12" s="381"/>
      <c r="U12" s="381"/>
      <c r="V12" s="381"/>
      <c r="W12" s="381"/>
      <c r="X12" s="383"/>
      <c r="Y12" s="381"/>
      <c r="Z12" s="382">
        <f t="shared" si="1"/>
        <v>0</v>
      </c>
      <c r="AA12" s="384"/>
      <c r="AB12" s="516"/>
      <c r="AC12" s="386"/>
      <c r="AD12" s="545"/>
      <c r="AE12" s="544"/>
    </row>
    <row r="13" spans="1:31">
      <c r="A13" s="1"/>
      <c r="B13" s="1" t="s">
        <v>103</v>
      </c>
      <c r="C13" s="321"/>
      <c r="D13" s="320"/>
      <c r="E13" s="315"/>
      <c r="F13" s="315"/>
      <c r="G13" s="315"/>
      <c r="H13" s="315"/>
      <c r="I13" s="1"/>
      <c r="J13" s="1"/>
      <c r="K13" s="57"/>
      <c r="L13" s="62"/>
      <c r="M13" s="65"/>
      <c r="N13" s="62"/>
      <c r="O13" s="514"/>
      <c r="P13" s="381"/>
      <c r="Q13" s="381"/>
      <c r="R13" s="378"/>
      <c r="S13" s="382">
        <f t="shared" si="0"/>
        <v>0</v>
      </c>
      <c r="T13" s="381"/>
      <c r="U13" s="381"/>
      <c r="V13" s="381"/>
      <c r="W13" s="381"/>
      <c r="X13" s="383"/>
      <c r="Y13" s="381"/>
      <c r="Z13" s="382">
        <f t="shared" si="1"/>
        <v>0</v>
      </c>
      <c r="AA13" s="384"/>
      <c r="AB13" s="516"/>
      <c r="AC13" s="386"/>
      <c r="AD13" s="545"/>
      <c r="AE13" s="544"/>
    </row>
    <row r="14" spans="1:31">
      <c r="A14" s="1"/>
      <c r="B14" s="1242" t="s">
        <v>189</v>
      </c>
      <c r="C14" s="1313">
        <f>+SUM(C9:C13)</f>
        <v>0</v>
      </c>
      <c r="D14" s="1334">
        <f t="shared" ref="D14:F14" si="2">+SUM(D9:D13)</f>
        <v>0</v>
      </c>
      <c r="E14" s="1259">
        <f t="shared" si="2"/>
        <v>0</v>
      </c>
      <c r="F14" s="1259">
        <f t="shared" si="2"/>
        <v>0</v>
      </c>
      <c r="G14" s="1259">
        <f t="shared" ref="G14:H14" si="3">+SUM(G9:G13)</f>
        <v>0</v>
      </c>
      <c r="H14" s="1259">
        <f t="shared" si="3"/>
        <v>0</v>
      </c>
      <c r="I14" s="1"/>
      <c r="J14" s="1"/>
      <c r="K14" s="57"/>
      <c r="L14" s="62"/>
      <c r="M14" s="65"/>
      <c r="N14" s="62"/>
      <c r="O14" s="514"/>
      <c r="P14" s="381"/>
      <c r="Q14" s="381"/>
      <c r="R14" s="378"/>
      <c r="S14" s="382">
        <f t="shared" si="0"/>
        <v>0</v>
      </c>
      <c r="T14" s="381"/>
      <c r="U14" s="381"/>
      <c r="V14" s="381"/>
      <c r="W14" s="381"/>
      <c r="X14" s="383"/>
      <c r="Y14" s="381"/>
      <c r="Z14" s="382">
        <f t="shared" si="1"/>
        <v>0</v>
      </c>
      <c r="AA14" s="384"/>
      <c r="AB14" s="516"/>
      <c r="AC14" s="386"/>
      <c r="AD14" s="545"/>
      <c r="AE14" s="544"/>
    </row>
    <row r="15" spans="1:31">
      <c r="A15" s="1"/>
      <c r="B15" s="1"/>
      <c r="C15" s="152"/>
      <c r="D15" s="152"/>
      <c r="E15" s="152"/>
      <c r="F15" s="152"/>
      <c r="G15" s="152"/>
      <c r="H15" s="152"/>
      <c r="I15" s="1"/>
      <c r="J15" s="1"/>
      <c r="K15" s="57"/>
      <c r="L15" s="62"/>
      <c r="M15" s="65"/>
      <c r="N15" s="62"/>
      <c r="O15" s="514"/>
      <c r="P15" s="381"/>
      <c r="Q15" s="381"/>
      <c r="R15" s="378"/>
      <c r="S15" s="382">
        <f t="shared" si="0"/>
        <v>0</v>
      </c>
      <c r="T15" s="381"/>
      <c r="U15" s="381"/>
      <c r="V15" s="381"/>
      <c r="W15" s="381"/>
      <c r="X15" s="383"/>
      <c r="Y15" s="381"/>
      <c r="Z15" s="382">
        <f t="shared" si="1"/>
        <v>0</v>
      </c>
      <c r="AA15" s="384"/>
      <c r="AB15" s="516"/>
      <c r="AC15" s="386"/>
      <c r="AD15" s="545"/>
      <c r="AE15" s="544"/>
    </row>
    <row r="16" spans="1:31">
      <c r="A16" s="1"/>
      <c r="B16" s="1"/>
      <c r="C16" s="152"/>
      <c r="D16" s="152"/>
      <c r="E16" s="152"/>
      <c r="F16" s="152"/>
      <c r="G16" s="152"/>
      <c r="H16" s="152"/>
      <c r="I16" s="1"/>
      <c r="J16" s="1"/>
      <c r="K16" s="57"/>
      <c r="L16" s="62"/>
      <c r="M16" s="65"/>
      <c r="N16" s="62"/>
      <c r="O16" s="514"/>
      <c r="P16" s="381"/>
      <c r="Q16" s="381"/>
      <c r="R16" s="378"/>
      <c r="S16" s="382">
        <f t="shared" si="0"/>
        <v>0</v>
      </c>
      <c r="T16" s="381"/>
      <c r="U16" s="381"/>
      <c r="V16" s="381"/>
      <c r="W16" s="381"/>
      <c r="X16" s="383"/>
      <c r="Y16" s="381"/>
      <c r="Z16" s="382">
        <f t="shared" si="1"/>
        <v>0</v>
      </c>
      <c r="AA16" s="384"/>
      <c r="AB16" s="516"/>
      <c r="AC16" s="386"/>
      <c r="AD16" s="545"/>
      <c r="AE16" s="544"/>
    </row>
    <row r="17" spans="1:31">
      <c r="A17" s="1"/>
      <c r="B17" s="11" t="s">
        <v>201</v>
      </c>
      <c r="C17" s="317">
        <f>+C14-'Est Situacion'!G46</f>
        <v>0</v>
      </c>
      <c r="D17" s="317">
        <f>+D14-'Est Situacion'!G62</f>
        <v>0</v>
      </c>
      <c r="E17" s="317">
        <f>+E14-'Est Situacion'!H46</f>
        <v>0</v>
      </c>
      <c r="F17" s="317">
        <f>+F14-'Est Situacion'!H62</f>
        <v>0</v>
      </c>
      <c r="G17" s="317">
        <f>+G14-'Est Situacion'!J46</f>
        <v>0</v>
      </c>
      <c r="H17" s="317">
        <f>+H14-'Est Situacion'!I46</f>
        <v>0</v>
      </c>
      <c r="I17" s="1"/>
      <c r="J17" s="1"/>
      <c r="K17" s="57"/>
      <c r="L17" s="62"/>
      <c r="M17" s="65"/>
      <c r="N17" s="62"/>
      <c r="O17" s="514"/>
      <c r="P17" s="381"/>
      <c r="Q17" s="381"/>
      <c r="R17" s="378"/>
      <c r="S17" s="382">
        <f t="shared" si="0"/>
        <v>0</v>
      </c>
      <c r="T17" s="381"/>
      <c r="U17" s="381"/>
      <c r="V17" s="381"/>
      <c r="W17" s="381"/>
      <c r="X17" s="383"/>
      <c r="Y17" s="381"/>
      <c r="Z17" s="382">
        <f t="shared" si="1"/>
        <v>0</v>
      </c>
      <c r="AA17" s="384"/>
      <c r="AB17" s="516"/>
      <c r="AC17" s="386"/>
      <c r="AD17" s="545"/>
      <c r="AE17" s="544"/>
    </row>
    <row r="18" spans="1:31">
      <c r="A18" s="1"/>
      <c r="B18" s="1"/>
      <c r="C18" s="1"/>
      <c r="D18" s="1"/>
      <c r="E18" s="1"/>
      <c r="F18" s="1"/>
      <c r="G18" s="1"/>
      <c r="H18" s="1"/>
      <c r="I18" s="1"/>
      <c r="J18" s="1"/>
      <c r="K18" s="57"/>
      <c r="L18" s="62"/>
      <c r="M18" s="65"/>
      <c r="N18" s="62"/>
      <c r="O18" s="514"/>
      <c r="P18" s="381"/>
      <c r="Q18" s="381"/>
      <c r="R18" s="378"/>
      <c r="S18" s="382">
        <f t="shared" si="0"/>
        <v>0</v>
      </c>
      <c r="T18" s="381"/>
      <c r="U18" s="381"/>
      <c r="V18" s="381"/>
      <c r="W18" s="381"/>
      <c r="X18" s="383"/>
      <c r="Y18" s="381"/>
      <c r="Z18" s="382">
        <f t="shared" si="1"/>
        <v>0</v>
      </c>
      <c r="AA18" s="384"/>
      <c r="AB18" s="516"/>
      <c r="AC18" s="386"/>
      <c r="AD18" s="545"/>
      <c r="AE18" s="544"/>
    </row>
    <row r="19" spans="1:31">
      <c r="A19" s="1"/>
      <c r="F19" s="1"/>
      <c r="G19" s="1"/>
      <c r="H19" s="1"/>
      <c r="I19" s="1"/>
      <c r="J19" s="1"/>
      <c r="K19" s="57"/>
      <c r="L19" s="62"/>
      <c r="M19" s="65"/>
      <c r="N19" s="62"/>
      <c r="O19" s="514"/>
      <c r="P19" s="381"/>
      <c r="Q19" s="381"/>
      <c r="R19" s="378"/>
      <c r="S19" s="382">
        <f t="shared" si="0"/>
        <v>0</v>
      </c>
      <c r="T19" s="381"/>
      <c r="U19" s="381"/>
      <c r="V19" s="381"/>
      <c r="W19" s="381"/>
      <c r="X19" s="383"/>
      <c r="Y19" s="381"/>
      <c r="Z19" s="382">
        <f t="shared" si="1"/>
        <v>0</v>
      </c>
      <c r="AA19" s="384"/>
      <c r="AB19" s="516"/>
      <c r="AC19" s="386"/>
      <c r="AD19" s="545"/>
      <c r="AE19" s="544"/>
    </row>
    <row r="20" spans="1:31" ht="14.65" thickBot="1">
      <c r="A20" s="1"/>
      <c r="F20" s="1"/>
      <c r="G20" s="1"/>
      <c r="H20" s="1"/>
      <c r="I20" s="1"/>
      <c r="J20" s="1"/>
      <c r="K20" s="57"/>
      <c r="L20" s="62"/>
      <c r="M20" s="65"/>
      <c r="N20" s="62"/>
      <c r="O20" s="514"/>
      <c r="P20" s="381"/>
      <c r="Q20" s="381"/>
      <c r="R20" s="378"/>
      <c r="S20" s="382">
        <f t="shared" si="0"/>
        <v>0</v>
      </c>
      <c r="T20" s="381"/>
      <c r="U20" s="381"/>
      <c r="V20" s="381"/>
      <c r="W20" s="381"/>
      <c r="X20" s="383"/>
      <c r="Y20" s="381"/>
      <c r="Z20" s="382">
        <f t="shared" si="1"/>
        <v>0</v>
      </c>
      <c r="AA20" s="384"/>
      <c r="AB20" s="516"/>
      <c r="AC20" s="386"/>
      <c r="AD20" s="545"/>
      <c r="AE20" s="544"/>
    </row>
    <row r="21" spans="1:31" ht="14.65" thickBot="1">
      <c r="A21" s="1"/>
      <c r="B21" s="583"/>
      <c r="C21" s="619">
        <f>+C6</f>
        <v>45657</v>
      </c>
      <c r="D21" s="619">
        <f>+E6</f>
        <v>45291</v>
      </c>
      <c r="E21" s="619">
        <f>+G6</f>
        <v>44927</v>
      </c>
      <c r="F21" s="1"/>
      <c r="G21" s="1"/>
      <c r="H21" s="1"/>
      <c r="I21" s="1"/>
      <c r="J21" s="1"/>
      <c r="K21" s="57"/>
      <c r="L21" s="62"/>
      <c r="M21" s="65"/>
      <c r="N21" s="62"/>
      <c r="O21" s="514"/>
      <c r="P21" s="381"/>
      <c r="Q21" s="381"/>
      <c r="R21" s="378"/>
      <c r="S21" s="382">
        <f t="shared" si="0"/>
        <v>0</v>
      </c>
      <c r="T21" s="381"/>
      <c r="U21" s="381"/>
      <c r="V21" s="381"/>
      <c r="W21" s="381"/>
      <c r="X21" s="383"/>
      <c r="Y21" s="381"/>
      <c r="Z21" s="382">
        <f t="shared" si="1"/>
        <v>0</v>
      </c>
      <c r="AA21" s="384"/>
      <c r="AB21" s="516"/>
      <c r="AC21" s="386"/>
      <c r="AD21" s="545"/>
      <c r="AE21" s="544"/>
    </row>
    <row r="22" spans="1:31">
      <c r="A22" s="1"/>
      <c r="B22" s="587"/>
      <c r="C22" s="573"/>
      <c r="D22" s="573"/>
      <c r="E22" s="573"/>
      <c r="F22" s="1"/>
      <c r="G22" s="1"/>
      <c r="H22" s="1"/>
      <c r="I22" s="1"/>
      <c r="J22" s="1"/>
      <c r="K22" s="57"/>
      <c r="L22" s="62"/>
      <c r="M22" s="65"/>
      <c r="N22" s="62"/>
      <c r="O22" s="514"/>
      <c r="P22" s="381"/>
      <c r="Q22" s="381"/>
      <c r="R22" s="378"/>
      <c r="S22" s="382">
        <f t="shared" si="0"/>
        <v>0</v>
      </c>
      <c r="T22" s="381"/>
      <c r="U22" s="381"/>
      <c r="V22" s="381"/>
      <c r="W22" s="381"/>
      <c r="X22" s="383"/>
      <c r="Y22" s="381"/>
      <c r="Z22" s="382">
        <f t="shared" si="1"/>
        <v>0</v>
      </c>
      <c r="AA22" s="384"/>
      <c r="AB22" s="516"/>
      <c r="AC22" s="386"/>
      <c r="AD22" s="545"/>
      <c r="AE22" s="544"/>
    </row>
    <row r="23" spans="1:31" ht="14.65" thickBot="1">
      <c r="A23" s="1"/>
      <c r="B23" s="587"/>
      <c r="C23" s="573"/>
      <c r="D23" s="573"/>
      <c r="E23" s="573"/>
      <c r="F23" s="1"/>
      <c r="G23" s="1"/>
      <c r="H23" s="1"/>
      <c r="I23" s="1"/>
      <c r="J23" s="1"/>
      <c r="K23" s="57"/>
      <c r="L23" s="62"/>
      <c r="M23" s="65"/>
      <c r="N23" s="62"/>
      <c r="O23" s="514"/>
      <c r="P23" s="381"/>
      <c r="Q23" s="381"/>
      <c r="R23" s="378"/>
      <c r="S23" s="382">
        <f t="shared" si="0"/>
        <v>0</v>
      </c>
      <c r="T23" s="381"/>
      <c r="U23" s="381"/>
      <c r="V23" s="381"/>
      <c r="W23" s="381"/>
      <c r="X23" s="383"/>
      <c r="Y23" s="381"/>
      <c r="Z23" s="382">
        <f t="shared" si="1"/>
        <v>0</v>
      </c>
      <c r="AA23" s="384"/>
      <c r="AB23" s="516"/>
      <c r="AC23" s="386"/>
      <c r="AD23" s="545"/>
      <c r="AE23" s="544"/>
    </row>
    <row r="24" spans="1:31" ht="14.65" thickBot="1">
      <c r="A24" s="1"/>
      <c r="B24" s="586"/>
      <c r="C24" s="574">
        <f>SUM(C22:C23)</f>
        <v>0</v>
      </c>
      <c r="D24" s="574">
        <f>SUM(D22:D23)</f>
        <v>0</v>
      </c>
      <c r="E24" s="574">
        <f>SUM(E22:E23)</f>
        <v>0</v>
      </c>
      <c r="F24" s="1"/>
      <c r="G24" s="1"/>
      <c r="H24" s="1"/>
      <c r="I24" s="1"/>
      <c r="J24" s="1"/>
      <c r="K24" s="57"/>
      <c r="L24" s="62"/>
      <c r="M24" s="65"/>
      <c r="N24" s="62"/>
      <c r="O24" s="514"/>
      <c r="P24" s="381"/>
      <c r="Q24" s="381"/>
      <c r="R24" s="378"/>
      <c r="S24" s="382">
        <f t="shared" si="0"/>
        <v>0</v>
      </c>
      <c r="T24" s="381"/>
      <c r="U24" s="381"/>
      <c r="V24" s="381"/>
      <c r="W24" s="381"/>
      <c r="X24" s="383"/>
      <c r="Y24" s="381"/>
      <c r="Z24" s="382">
        <f t="shared" si="1"/>
        <v>0</v>
      </c>
      <c r="AA24" s="384"/>
      <c r="AB24" s="516"/>
      <c r="AC24" s="386"/>
      <c r="AD24" s="545"/>
      <c r="AE24" s="544"/>
    </row>
    <row r="25" spans="1:31">
      <c r="A25" s="1"/>
      <c r="B25" s="1"/>
      <c r="C25" s="1"/>
      <c r="D25" s="1"/>
      <c r="E25" s="1"/>
      <c r="F25" s="1"/>
      <c r="G25" s="1"/>
      <c r="H25" s="1"/>
      <c r="I25" s="1"/>
      <c r="J25" s="1"/>
      <c r="K25" s="57"/>
      <c r="L25" s="62"/>
      <c r="M25" s="65"/>
      <c r="N25" s="62"/>
      <c r="O25" s="514"/>
      <c r="P25" s="381"/>
      <c r="Q25" s="381"/>
      <c r="R25" s="378"/>
      <c r="S25" s="382">
        <f t="shared" si="0"/>
        <v>0</v>
      </c>
      <c r="T25" s="381"/>
      <c r="U25" s="381"/>
      <c r="V25" s="381"/>
      <c r="W25" s="381"/>
      <c r="X25" s="383"/>
      <c r="Y25" s="381"/>
      <c r="Z25" s="382">
        <f t="shared" si="1"/>
        <v>0</v>
      </c>
      <c r="AA25" s="384"/>
      <c r="AB25" s="516"/>
      <c r="AC25" s="386"/>
      <c r="AD25" s="545"/>
      <c r="AE25" s="544"/>
    </row>
    <row r="26" spans="1:31">
      <c r="A26" s="1"/>
      <c r="B26" s="1"/>
      <c r="C26" s="1"/>
      <c r="D26" s="1"/>
      <c r="E26" s="1"/>
      <c r="F26" s="1"/>
      <c r="G26" s="1"/>
      <c r="H26" s="1"/>
      <c r="I26" s="1"/>
      <c r="J26" s="1"/>
      <c r="K26" s="57"/>
      <c r="L26" s="62"/>
      <c r="M26" s="65"/>
      <c r="N26" s="62"/>
      <c r="O26" s="514"/>
      <c r="P26" s="381"/>
      <c r="Q26" s="381"/>
      <c r="R26" s="378"/>
      <c r="S26" s="382">
        <f t="shared" si="0"/>
        <v>0</v>
      </c>
      <c r="T26" s="381"/>
      <c r="U26" s="381"/>
      <c r="V26" s="381"/>
      <c r="W26" s="381"/>
      <c r="X26" s="383"/>
      <c r="Y26" s="381"/>
      <c r="Z26" s="382">
        <f t="shared" si="1"/>
        <v>0</v>
      </c>
      <c r="AA26" s="384"/>
      <c r="AB26" s="516"/>
      <c r="AC26" s="386"/>
      <c r="AD26" s="545"/>
      <c r="AE26" s="544"/>
    </row>
    <row r="27" spans="1:31">
      <c r="A27" s="1"/>
      <c r="B27" s="1"/>
      <c r="C27" s="1"/>
      <c r="D27" s="1"/>
      <c r="E27" s="1"/>
      <c r="F27" s="1"/>
      <c r="G27" s="1"/>
      <c r="H27" s="1"/>
      <c r="I27" s="1"/>
      <c r="J27" s="1"/>
      <c r="K27" s="57"/>
      <c r="L27" s="62"/>
      <c r="M27" s="65"/>
      <c r="N27" s="62"/>
      <c r="O27" s="514"/>
      <c r="P27" s="381"/>
      <c r="Q27" s="381"/>
      <c r="R27" s="378"/>
      <c r="S27" s="382">
        <f t="shared" si="0"/>
        <v>0</v>
      </c>
      <c r="T27" s="381"/>
      <c r="U27" s="381"/>
      <c r="V27" s="381"/>
      <c r="W27" s="381"/>
      <c r="X27" s="383"/>
      <c r="Y27" s="381"/>
      <c r="Z27" s="382">
        <f t="shared" si="1"/>
        <v>0</v>
      </c>
      <c r="AA27" s="384"/>
      <c r="AB27" s="516"/>
      <c r="AC27" s="386"/>
      <c r="AD27" s="545"/>
      <c r="AE27" s="544"/>
    </row>
    <row r="28" spans="1:31">
      <c r="A28" s="1"/>
      <c r="B28" s="62"/>
      <c r="C28" s="1"/>
      <c r="D28" s="1"/>
      <c r="E28" s="1"/>
      <c r="F28" s="1"/>
      <c r="G28" s="1"/>
      <c r="H28" s="1"/>
      <c r="I28" s="1"/>
      <c r="J28" s="1"/>
      <c r="K28" s="57"/>
      <c r="L28" s="62"/>
      <c r="M28" s="65"/>
      <c r="N28" s="62"/>
      <c r="O28" s="514"/>
      <c r="P28" s="381"/>
      <c r="Q28" s="381"/>
      <c r="R28" s="378"/>
      <c r="S28" s="382">
        <f t="shared" si="0"/>
        <v>0</v>
      </c>
      <c r="T28" s="381"/>
      <c r="U28" s="381"/>
      <c r="V28" s="381"/>
      <c r="W28" s="381"/>
      <c r="X28" s="383"/>
      <c r="Y28" s="381"/>
      <c r="Z28" s="382">
        <f t="shared" si="1"/>
        <v>0</v>
      </c>
      <c r="AA28" s="384"/>
      <c r="AB28" s="516"/>
      <c r="AC28" s="386"/>
      <c r="AD28" s="545"/>
      <c r="AE28" s="544"/>
    </row>
    <row r="29" spans="1:31">
      <c r="A29" s="1"/>
      <c r="B29" s="62"/>
      <c r="C29" s="1"/>
      <c r="D29" s="1"/>
      <c r="E29" s="1"/>
      <c r="F29" s="1"/>
      <c r="G29" s="1"/>
      <c r="H29" s="1"/>
      <c r="I29" s="1"/>
      <c r="J29" s="1"/>
      <c r="K29" s="57"/>
      <c r="L29" s="62"/>
      <c r="M29" s="65"/>
      <c r="N29" s="62"/>
      <c r="O29" s="514"/>
      <c r="P29" s="381"/>
      <c r="Q29" s="381"/>
      <c r="R29" s="378"/>
      <c r="S29" s="382">
        <f t="shared" si="0"/>
        <v>0</v>
      </c>
      <c r="T29" s="381"/>
      <c r="U29" s="381"/>
      <c r="V29" s="381"/>
      <c r="W29" s="381"/>
      <c r="X29" s="383"/>
      <c r="Y29" s="381"/>
      <c r="Z29" s="382">
        <f t="shared" si="1"/>
        <v>0</v>
      </c>
      <c r="AA29" s="384"/>
      <c r="AB29" s="516"/>
      <c r="AC29" s="386"/>
      <c r="AD29" s="545"/>
      <c r="AE29" s="544"/>
    </row>
    <row r="30" spans="1:31">
      <c r="A30" s="1"/>
      <c r="B30" s="556"/>
      <c r="C30" s="1"/>
      <c r="D30" s="1"/>
      <c r="E30" s="1"/>
      <c r="F30" s="1"/>
      <c r="G30" s="1"/>
      <c r="H30" s="1"/>
      <c r="I30" s="1"/>
      <c r="J30" s="1"/>
      <c r="K30" s="57"/>
      <c r="L30" s="62"/>
      <c r="M30" s="65"/>
      <c r="N30" s="62"/>
      <c r="O30" s="514"/>
      <c r="P30" s="381"/>
      <c r="Q30" s="381"/>
      <c r="R30" s="378"/>
      <c r="S30" s="382">
        <f t="shared" si="0"/>
        <v>0</v>
      </c>
      <c r="T30" s="381"/>
      <c r="U30" s="381"/>
      <c r="V30" s="381"/>
      <c r="W30" s="381"/>
      <c r="X30" s="383"/>
      <c r="Y30" s="381"/>
      <c r="Z30" s="382">
        <f t="shared" si="1"/>
        <v>0</v>
      </c>
      <c r="AA30" s="384"/>
      <c r="AB30" s="516"/>
      <c r="AC30" s="386"/>
      <c r="AD30" s="545"/>
      <c r="AE30" s="544"/>
    </row>
    <row r="31" spans="1:31">
      <c r="A31" s="1"/>
      <c r="B31" s="62"/>
      <c r="C31" s="1"/>
      <c r="D31" s="1"/>
      <c r="E31" s="1"/>
      <c r="F31" s="1"/>
      <c r="G31" s="1"/>
      <c r="H31" s="1"/>
      <c r="I31" s="1"/>
      <c r="J31" s="1"/>
      <c r="K31" s="57"/>
      <c r="L31" s="62"/>
      <c r="M31" s="65"/>
      <c r="N31" s="62"/>
      <c r="O31" s="514"/>
      <c r="P31" s="381"/>
      <c r="Q31" s="381"/>
      <c r="R31" s="378"/>
      <c r="S31" s="382">
        <f t="shared" si="0"/>
        <v>0</v>
      </c>
      <c r="T31" s="381"/>
      <c r="U31" s="381"/>
      <c r="V31" s="381"/>
      <c r="W31" s="381"/>
      <c r="X31" s="383"/>
      <c r="Y31" s="381"/>
      <c r="Z31" s="382">
        <f t="shared" si="1"/>
        <v>0</v>
      </c>
      <c r="AA31" s="384"/>
      <c r="AB31" s="516"/>
      <c r="AC31" s="386"/>
      <c r="AD31" s="545"/>
      <c r="AE31" s="544"/>
    </row>
    <row r="32" spans="1:31">
      <c r="A32" s="1"/>
      <c r="B32" s="62"/>
      <c r="C32" s="1"/>
      <c r="D32" s="1"/>
      <c r="E32" s="1"/>
      <c r="F32" s="1"/>
      <c r="G32" s="1"/>
      <c r="H32" s="1"/>
      <c r="I32" s="1"/>
      <c r="J32" s="1"/>
      <c r="K32" s="57"/>
      <c r="L32" s="62"/>
      <c r="M32" s="65"/>
      <c r="N32" s="62"/>
      <c r="O32" s="514"/>
      <c r="P32" s="381"/>
      <c r="Q32" s="381"/>
      <c r="R32" s="378"/>
      <c r="S32" s="382">
        <f t="shared" si="0"/>
        <v>0</v>
      </c>
      <c r="T32" s="381"/>
      <c r="U32" s="381"/>
      <c r="V32" s="381"/>
      <c r="W32" s="381"/>
      <c r="X32" s="383"/>
      <c r="Y32" s="381"/>
      <c r="Z32" s="382">
        <f t="shared" si="1"/>
        <v>0</v>
      </c>
      <c r="AA32" s="384"/>
      <c r="AB32" s="516"/>
      <c r="AC32" s="386"/>
      <c r="AD32" s="545"/>
      <c r="AE32" s="544"/>
    </row>
    <row r="33" spans="1:31">
      <c r="A33" s="1"/>
      <c r="B33" s="556"/>
      <c r="C33" s="1"/>
      <c r="D33" s="1"/>
      <c r="E33" s="1"/>
      <c r="F33" s="1"/>
      <c r="G33" s="1"/>
      <c r="H33" s="1"/>
      <c r="I33" s="1"/>
      <c r="J33" s="1"/>
      <c r="K33" s="57"/>
      <c r="L33" s="62"/>
      <c r="M33" s="65"/>
      <c r="N33" s="62"/>
      <c r="O33" s="514"/>
      <c r="P33" s="381"/>
      <c r="Q33" s="381"/>
      <c r="R33" s="378"/>
      <c r="S33" s="382">
        <f t="shared" si="0"/>
        <v>0</v>
      </c>
      <c r="T33" s="381"/>
      <c r="U33" s="381"/>
      <c r="V33" s="381"/>
      <c r="W33" s="381"/>
      <c r="X33" s="383"/>
      <c r="Y33" s="381"/>
      <c r="Z33" s="382">
        <f t="shared" si="1"/>
        <v>0</v>
      </c>
      <c r="AA33" s="384"/>
      <c r="AB33" s="516"/>
      <c r="AC33" s="386"/>
      <c r="AD33" s="545"/>
      <c r="AE33" s="544"/>
    </row>
    <row r="34" spans="1:31">
      <c r="A34" s="1"/>
      <c r="B34" s="63"/>
      <c r="C34" s="1"/>
      <c r="D34" s="1"/>
      <c r="E34" s="1"/>
      <c r="F34" s="1"/>
      <c r="G34" s="1"/>
      <c r="H34" s="1"/>
      <c r="I34" s="1"/>
      <c r="J34" s="1"/>
      <c r="K34" s="57"/>
      <c r="L34" s="62"/>
      <c r="M34" s="65"/>
      <c r="N34" s="62"/>
      <c r="O34" s="514"/>
      <c r="P34" s="381"/>
      <c r="Q34" s="381"/>
      <c r="R34" s="378"/>
      <c r="S34" s="382">
        <f t="shared" si="0"/>
        <v>0</v>
      </c>
      <c r="T34" s="381"/>
      <c r="U34" s="381"/>
      <c r="V34" s="381"/>
      <c r="W34" s="381"/>
      <c r="X34" s="383"/>
      <c r="Y34" s="381"/>
      <c r="Z34" s="382">
        <f t="shared" si="1"/>
        <v>0</v>
      </c>
      <c r="AA34" s="384"/>
      <c r="AB34" s="516"/>
      <c r="AC34" s="386"/>
      <c r="AD34" s="545"/>
      <c r="AE34" s="544"/>
    </row>
    <row r="35" spans="1:31">
      <c r="A35" s="1"/>
      <c r="B35" s="63"/>
      <c r="C35" s="1"/>
      <c r="D35" s="1"/>
      <c r="E35" s="1"/>
      <c r="F35" s="1"/>
      <c r="G35" s="1"/>
      <c r="H35" s="1"/>
      <c r="I35" s="1"/>
      <c r="J35" s="1"/>
      <c r="K35" s="57"/>
      <c r="L35" s="62"/>
      <c r="M35" s="65"/>
      <c r="N35" s="62"/>
      <c r="O35" s="514"/>
      <c r="P35" s="381"/>
      <c r="Q35" s="381"/>
      <c r="R35" s="378"/>
      <c r="S35" s="382">
        <f t="shared" si="0"/>
        <v>0</v>
      </c>
      <c r="T35" s="381"/>
      <c r="U35" s="381"/>
      <c r="V35" s="381"/>
      <c r="W35" s="381"/>
      <c r="X35" s="383"/>
      <c r="Y35" s="381"/>
      <c r="Z35" s="382">
        <f t="shared" si="1"/>
        <v>0</v>
      </c>
      <c r="AA35" s="384"/>
      <c r="AB35" s="516"/>
      <c r="AC35" s="386"/>
      <c r="AD35" s="545"/>
      <c r="AE35" s="544"/>
    </row>
    <row r="36" spans="1:31">
      <c r="A36" s="1"/>
      <c r="B36" s="63"/>
      <c r="C36" s="1"/>
      <c r="D36" s="1"/>
      <c r="E36" s="1"/>
      <c r="F36" s="1"/>
      <c r="G36" s="1"/>
      <c r="H36" s="1"/>
      <c r="I36" s="1"/>
      <c r="J36" s="1"/>
      <c r="K36" s="57"/>
      <c r="L36" s="62"/>
      <c r="M36" s="65"/>
      <c r="N36" s="62"/>
      <c r="O36" s="514"/>
      <c r="P36" s="381"/>
      <c r="Q36" s="381"/>
      <c r="R36" s="378"/>
      <c r="S36" s="382">
        <f t="shared" si="0"/>
        <v>0</v>
      </c>
      <c r="T36" s="381"/>
      <c r="U36" s="381"/>
      <c r="V36" s="381"/>
      <c r="W36" s="381"/>
      <c r="X36" s="383"/>
      <c r="Y36" s="381"/>
      <c r="Z36" s="382">
        <f t="shared" si="1"/>
        <v>0</v>
      </c>
      <c r="AA36" s="384"/>
      <c r="AB36" s="516"/>
      <c r="AC36" s="386"/>
      <c r="AD36" s="545"/>
      <c r="AE36" s="544"/>
    </row>
    <row r="37" spans="1:31">
      <c r="A37" s="1"/>
      <c r="B37" s="63"/>
      <c r="C37" s="1"/>
      <c r="D37" s="1"/>
      <c r="E37" s="1"/>
      <c r="F37" s="1"/>
      <c r="G37" s="1"/>
      <c r="H37" s="1"/>
      <c r="I37" s="1"/>
      <c r="J37" s="1"/>
      <c r="K37" s="57"/>
      <c r="L37" s="62"/>
      <c r="M37" s="65"/>
      <c r="N37" s="62"/>
      <c r="O37" s="514"/>
      <c r="P37" s="381"/>
      <c r="Q37" s="381"/>
      <c r="R37" s="378"/>
      <c r="S37" s="382">
        <f t="shared" si="0"/>
        <v>0</v>
      </c>
      <c r="T37" s="381"/>
      <c r="U37" s="381"/>
      <c r="V37" s="381"/>
      <c r="W37" s="381"/>
      <c r="X37" s="383"/>
      <c r="Y37" s="381"/>
      <c r="Z37" s="382">
        <f t="shared" si="1"/>
        <v>0</v>
      </c>
      <c r="AA37" s="384"/>
      <c r="AB37" s="516"/>
      <c r="AC37" s="386"/>
      <c r="AD37" s="545"/>
      <c r="AE37" s="544"/>
    </row>
    <row r="38" spans="1:31">
      <c r="A38" s="1"/>
      <c r="B38" s="1"/>
      <c r="C38" s="1"/>
      <c r="D38" s="1"/>
      <c r="E38" s="1"/>
      <c r="F38" s="1"/>
      <c r="G38" s="1"/>
      <c r="H38" s="1"/>
      <c r="I38" s="1"/>
      <c r="J38" s="1"/>
      <c r="K38" s="57"/>
      <c r="L38" s="62"/>
      <c r="M38" s="65"/>
      <c r="N38" s="62"/>
      <c r="O38" s="514"/>
      <c r="P38" s="381"/>
      <c r="Q38" s="381"/>
      <c r="R38" s="378"/>
      <c r="S38" s="382">
        <f t="shared" si="0"/>
        <v>0</v>
      </c>
      <c r="T38" s="381"/>
      <c r="U38" s="381"/>
      <c r="V38" s="381"/>
      <c r="W38" s="381"/>
      <c r="X38" s="383"/>
      <c r="Y38" s="381"/>
      <c r="Z38" s="382">
        <f t="shared" si="1"/>
        <v>0</v>
      </c>
      <c r="AA38" s="384"/>
      <c r="AB38" s="516"/>
      <c r="AC38" s="386"/>
      <c r="AD38" s="545"/>
      <c r="AE38" s="544"/>
    </row>
    <row r="39" spans="1:31">
      <c r="A39" s="1"/>
      <c r="B39" s="1"/>
      <c r="C39" s="1"/>
      <c r="D39" s="1"/>
      <c r="E39" s="1"/>
      <c r="F39" s="1"/>
      <c r="G39" s="1"/>
      <c r="H39" s="1"/>
      <c r="I39" s="1"/>
      <c r="J39" s="1"/>
      <c r="K39" s="57"/>
      <c r="L39" s="62"/>
      <c r="M39" s="65"/>
      <c r="N39" s="62"/>
      <c r="O39" s="514"/>
      <c r="P39" s="381"/>
      <c r="Q39" s="381"/>
      <c r="R39" s="378"/>
      <c r="S39" s="382">
        <f t="shared" si="0"/>
        <v>0</v>
      </c>
      <c r="T39" s="381"/>
      <c r="U39" s="381"/>
      <c r="V39" s="381"/>
      <c r="W39" s="381"/>
      <c r="X39" s="383"/>
      <c r="Y39" s="381"/>
      <c r="Z39" s="382">
        <f t="shared" si="1"/>
        <v>0</v>
      </c>
      <c r="AA39" s="384"/>
      <c r="AB39" s="516"/>
      <c r="AC39" s="386"/>
      <c r="AD39" s="545"/>
      <c r="AE39" s="544"/>
    </row>
    <row r="40" spans="1:31">
      <c r="A40" s="1"/>
      <c r="B40" s="1"/>
      <c r="C40" s="1"/>
      <c r="D40" s="1"/>
      <c r="E40" s="1"/>
      <c r="F40" s="1"/>
      <c r="G40" s="1"/>
      <c r="H40" s="1"/>
      <c r="I40" s="1"/>
      <c r="J40" s="1"/>
      <c r="K40" s="57"/>
      <c r="L40" s="62"/>
      <c r="M40" s="65"/>
      <c r="N40" s="62"/>
      <c r="O40" s="514"/>
      <c r="P40" s="381"/>
      <c r="Q40" s="381"/>
      <c r="R40" s="378"/>
      <c r="S40" s="382">
        <f t="shared" si="0"/>
        <v>0</v>
      </c>
      <c r="T40" s="381"/>
      <c r="U40" s="381"/>
      <c r="V40" s="381"/>
      <c r="W40" s="381"/>
      <c r="X40" s="383"/>
      <c r="Y40" s="381"/>
      <c r="Z40" s="382">
        <f t="shared" si="1"/>
        <v>0</v>
      </c>
      <c r="AA40" s="384"/>
      <c r="AB40" s="516"/>
      <c r="AC40" s="386"/>
      <c r="AD40" s="545"/>
      <c r="AE40" s="544"/>
    </row>
    <row r="41" spans="1:31">
      <c r="A41" s="1"/>
      <c r="B41" s="1"/>
      <c r="C41" s="1"/>
      <c r="D41" s="1"/>
      <c r="E41" s="1"/>
      <c r="F41" s="1"/>
      <c r="G41" s="1"/>
      <c r="H41" s="1"/>
      <c r="I41" s="1"/>
      <c r="J41" s="1"/>
      <c r="K41" s="57"/>
      <c r="L41" s="62"/>
      <c r="M41" s="65"/>
      <c r="N41" s="62"/>
      <c r="O41" s="514"/>
      <c r="P41" s="381"/>
      <c r="Q41" s="381"/>
      <c r="R41" s="378"/>
      <c r="S41" s="382">
        <f t="shared" si="0"/>
        <v>0</v>
      </c>
      <c r="T41" s="381"/>
      <c r="U41" s="381"/>
      <c r="V41" s="381"/>
      <c r="W41" s="381"/>
      <c r="X41" s="383"/>
      <c r="Y41" s="381"/>
      <c r="Z41" s="382">
        <f t="shared" si="1"/>
        <v>0</v>
      </c>
      <c r="AA41" s="384"/>
      <c r="AB41" s="516"/>
      <c r="AC41" s="386"/>
      <c r="AD41" s="545"/>
      <c r="AE41" s="544"/>
    </row>
    <row r="42" spans="1:31">
      <c r="A42" s="1"/>
      <c r="B42" s="1"/>
      <c r="C42" s="1"/>
      <c r="D42" s="1"/>
      <c r="E42" s="1"/>
      <c r="F42" s="1"/>
      <c r="G42" s="1"/>
      <c r="H42" s="1"/>
      <c r="I42" s="1"/>
      <c r="J42" s="1"/>
      <c r="K42" s="57"/>
      <c r="L42" s="62"/>
      <c r="M42" s="65"/>
      <c r="N42" s="62"/>
      <c r="O42" s="514"/>
      <c r="P42" s="381"/>
      <c r="Q42" s="381"/>
      <c r="R42" s="378"/>
      <c r="S42" s="382">
        <f t="shared" si="0"/>
        <v>0</v>
      </c>
      <c r="T42" s="381"/>
      <c r="U42" s="381"/>
      <c r="V42" s="381"/>
      <c r="W42" s="381"/>
      <c r="X42" s="383"/>
      <c r="Y42" s="381"/>
      <c r="Z42" s="382">
        <f t="shared" si="1"/>
        <v>0</v>
      </c>
      <c r="AA42" s="384"/>
      <c r="AB42" s="516"/>
      <c r="AC42" s="386"/>
      <c r="AD42" s="545"/>
      <c r="AE42" s="544"/>
    </row>
    <row r="43" spans="1:31">
      <c r="A43" s="1"/>
      <c r="B43" s="1"/>
      <c r="C43" s="1"/>
      <c r="D43" s="1"/>
      <c r="E43" s="1"/>
      <c r="F43" s="1"/>
      <c r="G43" s="1"/>
      <c r="H43" s="1"/>
      <c r="I43" s="1"/>
      <c r="J43" s="1"/>
      <c r="K43" s="57"/>
      <c r="L43" s="62"/>
      <c r="M43" s="65"/>
      <c r="N43" s="62"/>
      <c r="O43" s="514"/>
      <c r="P43" s="381"/>
      <c r="Q43" s="381"/>
      <c r="R43" s="378"/>
      <c r="S43" s="382">
        <f t="shared" si="0"/>
        <v>0</v>
      </c>
      <c r="T43" s="381"/>
      <c r="U43" s="381"/>
      <c r="V43" s="381"/>
      <c r="W43" s="381"/>
      <c r="X43" s="383"/>
      <c r="Y43" s="381"/>
      <c r="Z43" s="382">
        <f t="shared" si="1"/>
        <v>0</v>
      </c>
      <c r="AA43" s="384"/>
      <c r="AB43" s="516"/>
      <c r="AC43" s="386"/>
      <c r="AD43" s="545"/>
      <c r="AE43" s="544"/>
    </row>
    <row r="44" spans="1:31">
      <c r="A44" s="1"/>
      <c r="B44" s="1"/>
      <c r="C44" s="1"/>
      <c r="D44" s="1"/>
      <c r="E44" s="1"/>
      <c r="F44" s="1"/>
      <c r="G44" s="1"/>
      <c r="H44" s="1"/>
      <c r="I44" s="1"/>
      <c r="J44" s="1"/>
      <c r="K44" s="57"/>
      <c r="L44" s="62"/>
      <c r="M44" s="65"/>
      <c r="N44" s="62"/>
      <c r="O44" s="514"/>
      <c r="P44" s="381"/>
      <c r="Q44" s="381"/>
      <c r="R44" s="378"/>
      <c r="S44" s="382">
        <f t="shared" si="0"/>
        <v>0</v>
      </c>
      <c r="T44" s="381"/>
      <c r="U44" s="381"/>
      <c r="V44" s="381"/>
      <c r="W44" s="381"/>
      <c r="X44" s="383"/>
      <c r="Y44" s="381"/>
      <c r="Z44" s="382">
        <f t="shared" si="1"/>
        <v>0</v>
      </c>
      <c r="AA44" s="384"/>
      <c r="AB44" s="516"/>
      <c r="AC44" s="386"/>
      <c r="AD44" s="545"/>
      <c r="AE44" s="544"/>
    </row>
    <row r="45" spans="1:31">
      <c r="A45" s="1"/>
      <c r="B45" s="1"/>
      <c r="C45" s="1"/>
      <c r="D45" s="1"/>
      <c r="E45" s="1"/>
      <c r="F45" s="1"/>
      <c r="G45" s="1"/>
      <c r="H45" s="1"/>
      <c r="I45" s="1"/>
      <c r="J45" s="1"/>
      <c r="K45" s="57"/>
      <c r="L45" s="62"/>
      <c r="M45" s="65"/>
      <c r="N45" s="62"/>
      <c r="O45" s="514"/>
      <c r="P45" s="381"/>
      <c r="Q45" s="381"/>
      <c r="R45" s="378"/>
      <c r="S45" s="382">
        <f t="shared" si="0"/>
        <v>0</v>
      </c>
      <c r="T45" s="381"/>
      <c r="U45" s="381"/>
      <c r="V45" s="381"/>
      <c r="W45" s="381"/>
      <c r="X45" s="383"/>
      <c r="Y45" s="381"/>
      <c r="Z45" s="382">
        <f t="shared" si="1"/>
        <v>0</v>
      </c>
      <c r="AA45" s="384"/>
      <c r="AB45" s="516"/>
      <c r="AC45" s="386"/>
      <c r="AD45" s="545"/>
      <c r="AE45" s="544"/>
    </row>
    <row r="46" spans="1:31">
      <c r="A46" s="1"/>
      <c r="B46" s="63"/>
      <c r="C46" s="1"/>
      <c r="D46" s="1"/>
      <c r="E46" s="1"/>
      <c r="F46" s="1"/>
      <c r="G46" s="1"/>
      <c r="H46" s="1"/>
      <c r="I46" s="1"/>
      <c r="J46" s="1"/>
      <c r="K46" s="57"/>
      <c r="L46" s="62"/>
      <c r="M46" s="65"/>
      <c r="N46" s="62"/>
      <c r="O46" s="514"/>
      <c r="P46" s="381"/>
      <c r="Q46" s="381"/>
      <c r="R46" s="378"/>
      <c r="S46" s="382">
        <f t="shared" si="0"/>
        <v>0</v>
      </c>
      <c r="T46" s="381"/>
      <c r="U46" s="381"/>
      <c r="V46" s="381"/>
      <c r="W46" s="381"/>
      <c r="X46" s="383"/>
      <c r="Y46" s="381"/>
      <c r="Z46" s="382">
        <f t="shared" si="1"/>
        <v>0</v>
      </c>
      <c r="AA46" s="384"/>
      <c r="AB46" s="516"/>
      <c r="AC46" s="386"/>
      <c r="AD46" s="545"/>
      <c r="AE46" s="544"/>
    </row>
    <row r="47" spans="1:31">
      <c r="A47" s="1"/>
      <c r="B47" s="63"/>
      <c r="C47" s="1"/>
      <c r="D47" s="1"/>
      <c r="E47" s="1"/>
      <c r="F47" s="1"/>
      <c r="G47" s="1"/>
      <c r="H47" s="1"/>
      <c r="I47" s="1"/>
      <c r="J47" s="1"/>
      <c r="K47" s="57"/>
      <c r="L47" s="62"/>
      <c r="M47" s="65"/>
      <c r="N47" s="62"/>
      <c r="O47" s="514"/>
      <c r="P47" s="381"/>
      <c r="Q47" s="381"/>
      <c r="R47" s="378"/>
      <c r="S47" s="382">
        <f t="shared" si="0"/>
        <v>0</v>
      </c>
      <c r="T47" s="381"/>
      <c r="U47" s="381"/>
      <c r="V47" s="381"/>
      <c r="W47" s="381"/>
      <c r="X47" s="383"/>
      <c r="Y47" s="381"/>
      <c r="Z47" s="382">
        <f t="shared" si="1"/>
        <v>0</v>
      </c>
      <c r="AA47" s="384"/>
      <c r="AB47" s="516"/>
      <c r="AC47" s="386"/>
      <c r="AD47" s="545"/>
      <c r="AE47" s="544"/>
    </row>
    <row r="48" spans="1:31">
      <c r="A48" s="1"/>
      <c r="B48" s="63"/>
      <c r="C48" s="1"/>
      <c r="D48" s="1"/>
      <c r="E48" s="1"/>
      <c r="F48" s="1"/>
      <c r="G48" s="1"/>
      <c r="H48" s="1"/>
      <c r="I48" s="1"/>
      <c r="J48" s="1"/>
      <c r="K48" s="57"/>
      <c r="L48" s="62"/>
      <c r="M48" s="65"/>
      <c r="N48" s="62"/>
      <c r="O48" s="514"/>
      <c r="P48" s="381"/>
      <c r="Q48" s="381"/>
      <c r="R48" s="378"/>
      <c r="S48" s="382">
        <f t="shared" si="0"/>
        <v>0</v>
      </c>
      <c r="T48" s="381"/>
      <c r="U48" s="381"/>
      <c r="V48" s="381"/>
      <c r="W48" s="381"/>
      <c r="X48" s="383"/>
      <c r="Y48" s="381"/>
      <c r="Z48" s="382">
        <f t="shared" si="1"/>
        <v>0</v>
      </c>
      <c r="AA48" s="384"/>
      <c r="AB48" s="516"/>
      <c r="AC48" s="386"/>
      <c r="AD48" s="545"/>
      <c r="AE48" s="544"/>
    </row>
    <row r="49" spans="1:31">
      <c r="A49" s="1"/>
      <c r="B49" s="63"/>
      <c r="C49" s="1"/>
      <c r="D49" s="1"/>
      <c r="E49" s="1"/>
      <c r="F49" s="1"/>
      <c r="G49" s="1"/>
      <c r="H49" s="1"/>
      <c r="I49" s="1"/>
      <c r="J49" s="1"/>
      <c r="K49" s="57"/>
      <c r="L49" s="62"/>
      <c r="M49" s="65"/>
      <c r="N49" s="62"/>
      <c r="O49" s="514"/>
      <c r="P49" s="381"/>
      <c r="Q49" s="381"/>
      <c r="R49" s="378"/>
      <c r="S49" s="382">
        <f t="shared" si="0"/>
        <v>0</v>
      </c>
      <c r="T49" s="381"/>
      <c r="U49" s="381"/>
      <c r="V49" s="381"/>
      <c r="W49" s="381"/>
      <c r="X49" s="383"/>
      <c r="Y49" s="381"/>
      <c r="Z49" s="382">
        <f t="shared" si="1"/>
        <v>0</v>
      </c>
      <c r="AA49" s="384"/>
      <c r="AB49" s="516"/>
      <c r="AC49" s="386"/>
      <c r="AD49" s="545"/>
      <c r="AE49" s="544"/>
    </row>
    <row r="50" spans="1:31">
      <c r="A50" s="1"/>
      <c r="B50" s="63"/>
      <c r="C50" s="1"/>
      <c r="D50" s="1"/>
      <c r="E50" s="1"/>
      <c r="F50" s="1"/>
      <c r="G50" s="1"/>
      <c r="H50" s="1"/>
      <c r="I50" s="1"/>
      <c r="J50" s="1"/>
      <c r="K50" s="57"/>
      <c r="L50" s="62"/>
      <c r="M50" s="65"/>
      <c r="N50" s="62"/>
      <c r="O50" s="514"/>
      <c r="P50" s="381"/>
      <c r="Q50" s="381"/>
      <c r="R50" s="378"/>
      <c r="S50" s="382">
        <f t="shared" si="0"/>
        <v>0</v>
      </c>
      <c r="T50" s="381"/>
      <c r="U50" s="381"/>
      <c r="V50" s="381"/>
      <c r="W50" s="381"/>
      <c r="X50" s="383"/>
      <c r="Y50" s="381"/>
      <c r="Z50" s="382">
        <f t="shared" si="1"/>
        <v>0</v>
      </c>
      <c r="AA50" s="384"/>
      <c r="AB50" s="516"/>
      <c r="AC50" s="386"/>
      <c r="AD50" s="545"/>
      <c r="AE50" s="544"/>
    </row>
    <row r="51" spans="1:31">
      <c r="A51" s="1"/>
      <c r="B51" s="1"/>
      <c r="C51" s="1"/>
      <c r="D51" s="1"/>
      <c r="E51" s="1"/>
      <c r="F51" s="1"/>
      <c r="G51" s="1"/>
      <c r="H51" s="1"/>
      <c r="I51" s="1"/>
      <c r="J51" s="1"/>
      <c r="K51" s="57"/>
      <c r="L51" s="62"/>
      <c r="M51" s="65"/>
      <c r="N51" s="62"/>
      <c r="O51" s="514"/>
      <c r="P51" s="381"/>
      <c r="Q51" s="381"/>
      <c r="R51" s="378"/>
      <c r="S51" s="382">
        <f t="shared" si="0"/>
        <v>0</v>
      </c>
      <c r="T51" s="381"/>
      <c r="U51" s="381"/>
      <c r="V51" s="381"/>
      <c r="W51" s="381"/>
      <c r="X51" s="383"/>
      <c r="Y51" s="381"/>
      <c r="Z51" s="382">
        <f t="shared" si="1"/>
        <v>0</v>
      </c>
      <c r="AA51" s="384"/>
      <c r="AB51" s="516"/>
      <c r="AC51" s="386"/>
      <c r="AD51" s="545"/>
      <c r="AE51" s="544"/>
    </row>
    <row r="52" spans="1:31">
      <c r="A52" s="1"/>
      <c r="B52" s="1"/>
      <c r="C52" s="1"/>
      <c r="D52" s="1"/>
      <c r="E52" s="1"/>
      <c r="F52" s="1"/>
      <c r="G52" s="1"/>
      <c r="H52" s="1"/>
      <c r="I52" s="1"/>
      <c r="J52" s="1"/>
      <c r="K52" s="57"/>
      <c r="L52" s="62"/>
      <c r="M52" s="65"/>
      <c r="N52" s="62"/>
      <c r="O52" s="514"/>
      <c r="P52" s="381"/>
      <c r="Q52" s="381"/>
      <c r="R52" s="378"/>
      <c r="S52" s="382">
        <f t="shared" si="0"/>
        <v>0</v>
      </c>
      <c r="T52" s="381"/>
      <c r="U52" s="381"/>
      <c r="V52" s="381"/>
      <c r="W52" s="381"/>
      <c r="X52" s="383"/>
      <c r="Y52" s="381"/>
      <c r="Z52" s="382">
        <f t="shared" si="1"/>
        <v>0</v>
      </c>
      <c r="AA52" s="384"/>
      <c r="AB52" s="516"/>
      <c r="AC52" s="386"/>
      <c r="AD52" s="545"/>
      <c r="AE52" s="544"/>
    </row>
    <row r="53" spans="1:31">
      <c r="A53" s="1"/>
      <c r="B53" s="1"/>
      <c r="C53" s="1"/>
      <c r="D53" s="1"/>
      <c r="E53" s="1"/>
      <c r="F53" s="1"/>
      <c r="G53" s="1"/>
      <c r="H53" s="1"/>
      <c r="I53" s="1"/>
      <c r="J53" s="1"/>
      <c r="K53" s="57"/>
      <c r="L53" s="62"/>
      <c r="M53" s="65"/>
      <c r="N53" s="62"/>
      <c r="O53" s="514"/>
      <c r="P53" s="381"/>
      <c r="Q53" s="381"/>
      <c r="R53" s="378"/>
      <c r="S53" s="382">
        <f t="shared" si="0"/>
        <v>0</v>
      </c>
      <c r="T53" s="381"/>
      <c r="U53" s="381"/>
      <c r="V53" s="381"/>
      <c r="W53" s="381"/>
      <c r="X53" s="383"/>
      <c r="Y53" s="381"/>
      <c r="Z53" s="382">
        <f t="shared" si="1"/>
        <v>0</v>
      </c>
      <c r="AA53" s="384"/>
      <c r="AB53" s="516"/>
      <c r="AC53" s="386"/>
      <c r="AD53" s="545"/>
      <c r="AE53" s="544"/>
    </row>
    <row r="54" spans="1:31">
      <c r="A54" s="1"/>
      <c r="B54" s="1"/>
      <c r="C54" s="1"/>
      <c r="D54" s="1"/>
      <c r="E54" s="1"/>
      <c r="F54" s="1"/>
      <c r="G54" s="1"/>
      <c r="H54" s="1"/>
      <c r="I54" s="1"/>
      <c r="J54" s="1"/>
      <c r="K54" s="57"/>
      <c r="L54" s="62"/>
      <c r="M54" s="65"/>
      <c r="N54" s="62"/>
      <c r="O54" s="514"/>
      <c r="P54" s="381"/>
      <c r="Q54" s="381"/>
      <c r="R54" s="378"/>
      <c r="S54" s="382">
        <f t="shared" si="0"/>
        <v>0</v>
      </c>
      <c r="T54" s="381"/>
      <c r="U54" s="381"/>
      <c r="V54" s="381"/>
      <c r="W54" s="381"/>
      <c r="X54" s="383"/>
      <c r="Y54" s="381"/>
      <c r="Z54" s="382">
        <f t="shared" si="1"/>
        <v>0</v>
      </c>
      <c r="AA54" s="384"/>
      <c r="AB54" s="516"/>
      <c r="AC54" s="386"/>
      <c r="AD54" s="545"/>
      <c r="AE54" s="544"/>
    </row>
    <row r="55" spans="1:31">
      <c r="A55" s="1"/>
      <c r="B55" s="1"/>
      <c r="C55" s="1"/>
      <c r="D55" s="1"/>
      <c r="E55" s="1"/>
      <c r="F55" s="1"/>
      <c r="G55" s="1"/>
      <c r="H55" s="1"/>
      <c r="I55" s="1"/>
      <c r="J55" s="1"/>
      <c r="K55" s="57"/>
      <c r="L55" s="62"/>
      <c r="M55" s="65"/>
      <c r="N55" s="62"/>
      <c r="O55" s="514"/>
      <c r="P55" s="381"/>
      <c r="Q55" s="381"/>
      <c r="R55" s="378"/>
      <c r="S55" s="382">
        <f t="shared" si="0"/>
        <v>0</v>
      </c>
      <c r="T55" s="381"/>
      <c r="U55" s="381"/>
      <c r="V55" s="381"/>
      <c r="W55" s="381"/>
      <c r="X55" s="383"/>
      <c r="Y55" s="381"/>
      <c r="Z55" s="382">
        <f t="shared" si="1"/>
        <v>0</v>
      </c>
      <c r="AA55" s="384"/>
      <c r="AB55" s="516"/>
      <c r="AC55" s="386"/>
      <c r="AD55" s="545"/>
      <c r="AE55" s="544"/>
    </row>
    <row r="56" spans="1:31">
      <c r="A56" s="1"/>
      <c r="B56" s="1"/>
      <c r="C56" s="1"/>
      <c r="D56" s="1"/>
      <c r="E56" s="1"/>
      <c r="F56" s="1"/>
      <c r="G56" s="1"/>
      <c r="H56" s="1"/>
      <c r="I56" s="1"/>
      <c r="J56" s="1"/>
      <c r="K56" s="57"/>
      <c r="L56" s="62"/>
      <c r="M56" s="65"/>
      <c r="N56" s="62"/>
      <c r="O56" s="514"/>
      <c r="P56" s="381"/>
      <c r="Q56" s="381"/>
      <c r="R56" s="378"/>
      <c r="S56" s="382">
        <f t="shared" si="0"/>
        <v>0</v>
      </c>
      <c r="T56" s="381"/>
      <c r="U56" s="381"/>
      <c r="V56" s="381"/>
      <c r="W56" s="381"/>
      <c r="X56" s="383"/>
      <c r="Y56" s="381"/>
      <c r="Z56" s="382">
        <f t="shared" si="1"/>
        <v>0</v>
      </c>
      <c r="AA56" s="384"/>
      <c r="AB56" s="516"/>
      <c r="AC56" s="386"/>
      <c r="AD56" s="545"/>
      <c r="AE56" s="544"/>
    </row>
    <row r="57" spans="1:31">
      <c r="A57" s="1"/>
      <c r="B57" s="1"/>
      <c r="C57" s="1"/>
      <c r="D57" s="1"/>
      <c r="E57" s="1"/>
      <c r="F57" s="1"/>
      <c r="G57" s="1"/>
      <c r="H57" s="1"/>
      <c r="I57" s="1"/>
      <c r="J57" s="1"/>
      <c r="K57" s="57"/>
      <c r="L57" s="62"/>
      <c r="M57" s="65"/>
      <c r="N57" s="62"/>
      <c r="O57" s="514"/>
      <c r="P57" s="381"/>
      <c r="Q57" s="381"/>
      <c r="R57" s="378"/>
      <c r="S57" s="382">
        <f t="shared" si="0"/>
        <v>0</v>
      </c>
      <c r="T57" s="381"/>
      <c r="U57" s="381"/>
      <c r="V57" s="381"/>
      <c r="W57" s="381"/>
      <c r="X57" s="383"/>
      <c r="Y57" s="381"/>
      <c r="Z57" s="382">
        <f t="shared" si="1"/>
        <v>0</v>
      </c>
      <c r="AA57" s="384"/>
      <c r="AB57" s="516"/>
      <c r="AC57" s="386"/>
      <c r="AD57" s="545"/>
      <c r="AE57" s="544"/>
    </row>
    <row r="58" spans="1:31">
      <c r="A58" s="1"/>
      <c r="B58" s="1"/>
      <c r="C58" s="1"/>
      <c r="D58" s="1"/>
      <c r="E58" s="1"/>
      <c r="F58" s="1"/>
      <c r="G58" s="1"/>
      <c r="H58" s="1"/>
      <c r="I58" s="1"/>
      <c r="J58" s="1"/>
      <c r="K58" s="57"/>
      <c r="L58" s="62"/>
      <c r="M58" s="65"/>
      <c r="N58" s="62"/>
      <c r="O58" s="514"/>
      <c r="P58" s="381"/>
      <c r="Q58" s="381"/>
      <c r="R58" s="378"/>
      <c r="S58" s="382">
        <f t="shared" si="0"/>
        <v>0</v>
      </c>
      <c r="T58" s="381"/>
      <c r="U58" s="381"/>
      <c r="V58" s="381"/>
      <c r="W58" s="381"/>
      <c r="X58" s="383"/>
      <c r="Y58" s="381"/>
      <c r="Z58" s="382">
        <f t="shared" si="1"/>
        <v>0</v>
      </c>
      <c r="AA58" s="384"/>
      <c r="AB58" s="516"/>
      <c r="AC58" s="386"/>
      <c r="AD58" s="545"/>
      <c r="AE58" s="544"/>
    </row>
    <row r="59" spans="1:31">
      <c r="A59" s="1"/>
      <c r="B59" s="1"/>
      <c r="C59" s="1"/>
      <c r="D59" s="1"/>
      <c r="E59" s="1"/>
      <c r="F59" s="1"/>
      <c r="G59" s="1"/>
      <c r="H59" s="1"/>
      <c r="I59" s="1"/>
      <c r="J59" s="1"/>
      <c r="K59" s="57"/>
      <c r="L59" s="62"/>
      <c r="M59" s="65"/>
      <c r="N59" s="62"/>
      <c r="O59" s="514"/>
      <c r="P59" s="381"/>
      <c r="Q59" s="381"/>
      <c r="R59" s="378"/>
      <c r="S59" s="382">
        <f t="shared" si="0"/>
        <v>0</v>
      </c>
      <c r="T59" s="381"/>
      <c r="U59" s="381"/>
      <c r="V59" s="381"/>
      <c r="W59" s="381"/>
      <c r="X59" s="383"/>
      <c r="Y59" s="381"/>
      <c r="Z59" s="382">
        <f t="shared" si="1"/>
        <v>0</v>
      </c>
      <c r="AA59" s="384"/>
      <c r="AB59" s="516"/>
      <c r="AC59" s="386"/>
      <c r="AD59" s="545"/>
      <c r="AE59" s="544"/>
    </row>
    <row r="60" spans="1:31">
      <c r="A60" s="1"/>
      <c r="B60" s="1"/>
      <c r="C60" s="1"/>
      <c r="D60" s="1"/>
      <c r="E60" s="1"/>
      <c r="F60" s="1"/>
      <c r="G60" s="1"/>
      <c r="H60" s="1"/>
      <c r="I60" s="1"/>
      <c r="J60" s="1"/>
      <c r="K60" s="57"/>
      <c r="L60" s="62"/>
      <c r="M60" s="65"/>
      <c r="N60" s="62"/>
      <c r="O60" s="514"/>
      <c r="P60" s="381"/>
      <c r="Q60" s="381"/>
      <c r="R60" s="378"/>
      <c r="S60" s="382">
        <f t="shared" si="0"/>
        <v>0</v>
      </c>
      <c r="T60" s="381"/>
      <c r="U60" s="381"/>
      <c r="V60" s="381"/>
      <c r="W60" s="381"/>
      <c r="X60" s="383"/>
      <c r="Y60" s="381"/>
      <c r="Z60" s="382">
        <f t="shared" si="1"/>
        <v>0</v>
      </c>
      <c r="AA60" s="384"/>
      <c r="AB60" s="516"/>
      <c r="AC60" s="386"/>
      <c r="AD60" s="545"/>
      <c r="AE60" s="544"/>
    </row>
    <row r="61" spans="1:31">
      <c r="A61" s="1"/>
      <c r="B61" s="1"/>
      <c r="C61" s="1"/>
      <c r="D61" s="1"/>
      <c r="E61" s="1"/>
      <c r="F61" s="1"/>
      <c r="G61" s="1"/>
      <c r="H61" s="1"/>
      <c r="I61" s="1"/>
      <c r="J61" s="1"/>
      <c r="K61" s="57"/>
      <c r="L61" s="62"/>
      <c r="M61" s="65"/>
      <c r="N61" s="62"/>
      <c r="O61" s="514"/>
      <c r="P61" s="381"/>
      <c r="Q61" s="381"/>
      <c r="R61" s="378"/>
      <c r="S61" s="382">
        <f t="shared" si="0"/>
        <v>0</v>
      </c>
      <c r="T61" s="381"/>
      <c r="U61" s="381"/>
      <c r="V61" s="381"/>
      <c r="W61" s="381"/>
      <c r="X61" s="383"/>
      <c r="Y61" s="381"/>
      <c r="Z61" s="382">
        <f t="shared" si="1"/>
        <v>0</v>
      </c>
      <c r="AA61" s="384"/>
      <c r="AB61" s="516"/>
      <c r="AC61" s="386"/>
      <c r="AD61" s="545"/>
      <c r="AE61" s="544"/>
    </row>
    <row r="62" spans="1:31">
      <c r="A62" s="1"/>
      <c r="B62" s="1"/>
      <c r="C62" s="1"/>
      <c r="D62" s="1"/>
      <c r="E62" s="1"/>
      <c r="F62" s="1"/>
      <c r="G62" s="1"/>
      <c r="H62" s="1"/>
      <c r="I62" s="1"/>
      <c r="J62" s="1"/>
      <c r="K62" s="57"/>
      <c r="L62" s="62"/>
      <c r="M62" s="65"/>
      <c r="N62" s="62"/>
      <c r="O62" s="514"/>
      <c r="P62" s="381"/>
      <c r="Q62" s="381"/>
      <c r="R62" s="388"/>
      <c r="S62" s="382">
        <f t="shared" ref="S62" si="4">+SUM(P62:R62)</f>
        <v>0</v>
      </c>
      <c r="T62" s="381"/>
      <c r="U62" s="381"/>
      <c r="V62" s="381"/>
      <c r="W62" s="381"/>
      <c r="X62" s="383"/>
      <c r="Y62" s="381"/>
      <c r="Z62" s="382">
        <f t="shared" si="1"/>
        <v>0</v>
      </c>
      <c r="AA62" s="384"/>
      <c r="AB62" s="516"/>
      <c r="AC62" s="386"/>
      <c r="AD62" s="545"/>
      <c r="AE62" s="544"/>
    </row>
    <row r="63" spans="1:31">
      <c r="A63" s="1"/>
      <c r="B63" s="1"/>
      <c r="C63" s="1"/>
      <c r="D63" s="1"/>
      <c r="E63" s="1"/>
      <c r="F63" s="1"/>
      <c r="G63" s="1"/>
      <c r="H63" s="1"/>
      <c r="I63" s="1"/>
      <c r="J63" s="1"/>
      <c r="K63" s="285" t="s">
        <v>526</v>
      </c>
      <c r="L63" s="286"/>
      <c r="M63" s="287"/>
      <c r="N63" s="287"/>
      <c r="O63" s="528"/>
      <c r="P63" s="389">
        <f t="shared" ref="P63:Z63" si="5">SUM(P8:P62)</f>
        <v>0</v>
      </c>
      <c r="Q63" s="390">
        <f t="shared" si="5"/>
        <v>0</v>
      </c>
      <c r="R63" s="390">
        <f t="shared" si="5"/>
        <v>0</v>
      </c>
      <c r="S63" s="390">
        <f t="shared" si="5"/>
        <v>0</v>
      </c>
      <c r="T63" s="390">
        <f t="shared" si="5"/>
        <v>0</v>
      </c>
      <c r="U63" s="390">
        <f t="shared" si="5"/>
        <v>0</v>
      </c>
      <c r="V63" s="390"/>
      <c r="W63" s="390"/>
      <c r="X63" s="390">
        <f t="shared" si="5"/>
        <v>0</v>
      </c>
      <c r="Y63" s="390">
        <f t="shared" si="5"/>
        <v>0</v>
      </c>
      <c r="Z63" s="390">
        <f t="shared" si="5"/>
        <v>0</v>
      </c>
      <c r="AA63" s="391"/>
      <c r="AB63" s="517"/>
      <c r="AC63" s="391"/>
      <c r="AD63" s="517"/>
      <c r="AE63" s="517"/>
    </row>
    <row r="64" spans="1:31">
      <c r="A64" s="1"/>
      <c r="B64" s="1"/>
      <c r="C64" s="1"/>
      <c r="D64" s="1"/>
      <c r="E64" s="1"/>
      <c r="F64" s="1"/>
      <c r="G64" s="1"/>
      <c r="H64" s="1"/>
      <c r="I64" s="1"/>
      <c r="J64" s="1"/>
      <c r="K64" s="77" t="s">
        <v>201</v>
      </c>
      <c r="L64" s="77"/>
      <c r="M64" s="77"/>
      <c r="N64" s="77"/>
      <c r="O64" s="529"/>
      <c r="P64" s="392"/>
      <c r="Q64" s="392"/>
      <c r="R64" s="392"/>
      <c r="S64" s="392">
        <f>+S63-C9</f>
        <v>0</v>
      </c>
      <c r="T64" s="392"/>
      <c r="U64" s="392"/>
      <c r="V64" s="392"/>
      <c r="W64" s="392"/>
      <c r="X64" s="392"/>
      <c r="Y64" s="392"/>
      <c r="Z64" s="392">
        <f>Z63-D9</f>
        <v>0</v>
      </c>
      <c r="AA64" s="392"/>
      <c r="AB64" s="518"/>
      <c r="AC64" s="392"/>
      <c r="AD64" s="518"/>
      <c r="AE64" s="518"/>
    </row>
    <row r="65" spans="1:31">
      <c r="A65" s="1"/>
      <c r="B65" s="1"/>
      <c r="C65" s="1"/>
      <c r="D65" s="1"/>
      <c r="E65" s="1"/>
      <c r="F65" s="1"/>
      <c r="G65" s="1"/>
      <c r="H65" s="1"/>
      <c r="I65" s="1"/>
      <c r="J65" s="1"/>
      <c r="K65" s="62"/>
      <c r="L65" s="62"/>
      <c r="M65" s="62"/>
      <c r="N65" s="62"/>
      <c r="O65" s="78"/>
      <c r="P65" s="367"/>
      <c r="Q65" s="367"/>
      <c r="R65" s="367"/>
      <c r="S65" s="367"/>
      <c r="T65" s="367"/>
      <c r="U65" s="367"/>
      <c r="V65" s="367"/>
      <c r="W65" s="367"/>
      <c r="X65" s="367"/>
      <c r="Y65" s="367"/>
      <c r="Z65" s="367"/>
      <c r="AA65" s="378"/>
      <c r="AB65" s="519"/>
      <c r="AC65" s="378"/>
      <c r="AD65" s="519"/>
      <c r="AE65" s="519"/>
    </row>
    <row r="66" spans="1:31">
      <c r="A66" s="1"/>
      <c r="B66" s="1"/>
      <c r="C66" s="1"/>
      <c r="D66" s="1"/>
      <c r="E66" s="1"/>
      <c r="F66" s="1"/>
      <c r="G66" s="1"/>
      <c r="H66" s="1"/>
      <c r="I66" s="1"/>
      <c r="J66" s="1"/>
      <c r="K66" s="79"/>
      <c r="L66" s="80"/>
      <c r="M66" s="65"/>
      <c r="N66" s="80"/>
      <c r="O66" s="530"/>
      <c r="P66" s="393"/>
      <c r="Q66" s="393"/>
      <c r="R66" s="394"/>
      <c r="S66" s="395">
        <f t="shared" ref="S66:S72" si="6">SUM(P66:R66)</f>
        <v>0</v>
      </c>
      <c r="T66" s="393"/>
      <c r="U66" s="393"/>
      <c r="V66" s="393"/>
      <c r="W66" s="393"/>
      <c r="X66" s="393"/>
      <c r="Y66" s="393"/>
      <c r="Z66" s="396">
        <f t="shared" ref="Z66:Z72" si="7">SUM(T66:Y66)</f>
        <v>0</v>
      </c>
      <c r="AA66" s="397"/>
      <c r="AB66" s="520"/>
      <c r="AC66" s="399"/>
      <c r="AD66" s="546"/>
      <c r="AE66" s="547"/>
    </row>
    <row r="67" spans="1:31">
      <c r="A67" s="1"/>
      <c r="B67" s="1"/>
      <c r="C67" s="1"/>
      <c r="D67" s="1"/>
      <c r="E67" s="1"/>
      <c r="F67" s="1"/>
      <c r="G67" s="1"/>
      <c r="H67" s="1"/>
      <c r="I67" s="1"/>
      <c r="J67" s="1"/>
      <c r="K67" s="67"/>
      <c r="L67" s="63"/>
      <c r="M67" s="65"/>
      <c r="N67" s="63"/>
      <c r="O67" s="514"/>
      <c r="P67" s="381"/>
      <c r="Q67" s="381"/>
      <c r="R67" s="378"/>
      <c r="S67" s="382">
        <f t="shared" si="6"/>
        <v>0</v>
      </c>
      <c r="T67" s="381"/>
      <c r="U67" s="381"/>
      <c r="V67" s="381"/>
      <c r="W67" s="381"/>
      <c r="X67" s="381"/>
      <c r="Y67" s="381"/>
      <c r="Z67" s="402">
        <f t="shared" si="7"/>
        <v>0</v>
      </c>
      <c r="AA67" s="384"/>
      <c r="AB67" s="516"/>
      <c r="AC67" s="386"/>
      <c r="AD67" s="548"/>
      <c r="AE67" s="544"/>
    </row>
    <row r="68" spans="1:31">
      <c r="A68" s="1"/>
      <c r="B68" s="1"/>
      <c r="C68" s="1"/>
      <c r="D68" s="1"/>
      <c r="E68" s="1"/>
      <c r="F68" s="1"/>
      <c r="G68" s="1"/>
      <c r="H68" s="1"/>
      <c r="I68" s="1"/>
      <c r="J68" s="1"/>
      <c r="K68" s="67"/>
      <c r="L68" s="63"/>
      <c r="M68" s="65"/>
      <c r="N68" s="63"/>
      <c r="O68" s="514"/>
      <c r="P68" s="381"/>
      <c r="Q68" s="381"/>
      <c r="R68" s="378"/>
      <c r="S68" s="382">
        <f t="shared" si="6"/>
        <v>0</v>
      </c>
      <c r="T68" s="381"/>
      <c r="U68" s="381"/>
      <c r="V68" s="381"/>
      <c r="W68" s="381"/>
      <c r="X68" s="381"/>
      <c r="Y68" s="381"/>
      <c r="Z68" s="402">
        <f t="shared" si="7"/>
        <v>0</v>
      </c>
      <c r="AA68" s="384"/>
      <c r="AB68" s="516"/>
      <c r="AC68" s="386"/>
      <c r="AD68" s="548"/>
      <c r="AE68" s="544"/>
    </row>
    <row r="69" spans="1:31">
      <c r="A69" s="1"/>
      <c r="B69" s="1"/>
      <c r="C69" s="1"/>
      <c r="D69" s="1"/>
      <c r="E69" s="1"/>
      <c r="F69" s="1"/>
      <c r="G69" s="1"/>
      <c r="H69" s="1"/>
      <c r="I69" s="1"/>
      <c r="J69" s="1"/>
      <c r="K69" s="67"/>
      <c r="L69" s="63"/>
      <c r="M69" s="65"/>
      <c r="N69" s="63"/>
      <c r="O69" s="514"/>
      <c r="P69" s="381"/>
      <c r="Q69" s="381"/>
      <c r="R69" s="378"/>
      <c r="S69" s="382">
        <f t="shared" si="6"/>
        <v>0</v>
      </c>
      <c r="T69" s="381"/>
      <c r="U69" s="381"/>
      <c r="V69" s="381"/>
      <c r="W69" s="381"/>
      <c r="X69" s="381"/>
      <c r="Y69" s="381"/>
      <c r="Z69" s="402">
        <f t="shared" si="7"/>
        <v>0</v>
      </c>
      <c r="AA69" s="384"/>
      <c r="AB69" s="516"/>
      <c r="AC69" s="386"/>
      <c r="AD69" s="548"/>
      <c r="AE69" s="544"/>
    </row>
    <row r="70" spans="1:31">
      <c r="A70" s="1"/>
      <c r="B70" s="1"/>
      <c r="C70" s="1"/>
      <c r="D70" s="1"/>
      <c r="E70" s="1"/>
      <c r="F70" s="1"/>
      <c r="G70" s="1"/>
      <c r="H70" s="1"/>
      <c r="I70" s="1"/>
      <c r="J70" s="1"/>
      <c r="K70" s="67"/>
      <c r="L70" s="63"/>
      <c r="M70" s="65"/>
      <c r="N70" s="63"/>
      <c r="O70" s="514"/>
      <c r="P70" s="381"/>
      <c r="Q70" s="381"/>
      <c r="R70" s="378"/>
      <c r="S70" s="382">
        <f t="shared" si="6"/>
        <v>0</v>
      </c>
      <c r="T70" s="381"/>
      <c r="U70" s="381"/>
      <c r="V70" s="381"/>
      <c r="W70" s="381"/>
      <c r="X70" s="381"/>
      <c r="Y70" s="381"/>
      <c r="Z70" s="402">
        <f t="shared" si="7"/>
        <v>0</v>
      </c>
      <c r="AA70" s="384"/>
      <c r="AB70" s="516"/>
      <c r="AC70" s="386"/>
      <c r="AD70" s="545"/>
      <c r="AE70" s="544"/>
    </row>
    <row r="71" spans="1:31">
      <c r="A71" s="1"/>
      <c r="B71" s="1"/>
      <c r="C71" s="1"/>
      <c r="D71" s="1"/>
      <c r="E71" s="1"/>
      <c r="F71" s="1"/>
      <c r="G71" s="1"/>
      <c r="H71" s="1"/>
      <c r="I71" s="1"/>
      <c r="J71" s="1"/>
      <c r="K71" s="67"/>
      <c r="L71" s="63"/>
      <c r="M71" s="65"/>
      <c r="N71" s="63"/>
      <c r="O71" s="514"/>
      <c r="P71" s="381"/>
      <c r="Q71" s="381"/>
      <c r="R71" s="378"/>
      <c r="S71" s="382">
        <f t="shared" si="6"/>
        <v>0</v>
      </c>
      <c r="T71" s="381"/>
      <c r="U71" s="381"/>
      <c r="V71" s="381"/>
      <c r="W71" s="381"/>
      <c r="X71" s="381"/>
      <c r="Y71" s="381"/>
      <c r="Z71" s="402">
        <f t="shared" si="7"/>
        <v>0</v>
      </c>
      <c r="AA71" s="384"/>
      <c r="AB71" s="516"/>
      <c r="AC71" s="386"/>
      <c r="AD71" s="545"/>
      <c r="AE71" s="544"/>
    </row>
    <row r="72" spans="1:31">
      <c r="A72" s="1"/>
      <c r="B72" s="1"/>
      <c r="C72" s="1"/>
      <c r="D72" s="1"/>
      <c r="E72" s="1"/>
      <c r="F72" s="1"/>
      <c r="G72" s="1"/>
      <c r="H72" s="1"/>
      <c r="I72" s="1"/>
      <c r="J72" s="1"/>
      <c r="K72" s="68"/>
      <c r="L72" s="69"/>
      <c r="M72" s="65"/>
      <c r="N72" s="69"/>
      <c r="O72" s="531"/>
      <c r="P72" s="403"/>
      <c r="Q72" s="403"/>
      <c r="R72" s="404"/>
      <c r="S72" s="405">
        <f t="shared" si="6"/>
        <v>0</v>
      </c>
      <c r="T72" s="403"/>
      <c r="U72" s="403"/>
      <c r="V72" s="403"/>
      <c r="W72" s="403"/>
      <c r="X72" s="403"/>
      <c r="Y72" s="403"/>
      <c r="Z72" s="406">
        <f t="shared" si="7"/>
        <v>0</v>
      </c>
      <c r="AA72" s="407"/>
      <c r="AB72" s="521"/>
      <c r="AC72" s="409"/>
      <c r="AD72" s="549"/>
      <c r="AE72" s="550"/>
    </row>
    <row r="73" spans="1:31">
      <c r="A73" s="1"/>
      <c r="B73" s="1"/>
      <c r="C73" s="1"/>
      <c r="D73" s="1"/>
      <c r="E73" s="1"/>
      <c r="F73" s="1"/>
      <c r="G73" s="1"/>
      <c r="H73" s="1"/>
      <c r="I73" s="1"/>
      <c r="J73" s="1"/>
      <c r="K73" s="285" t="s">
        <v>527</v>
      </c>
      <c r="L73" s="287"/>
      <c r="M73" s="286"/>
      <c r="N73" s="287"/>
      <c r="O73" s="532"/>
      <c r="P73" s="390">
        <f t="shared" ref="P73:Y73" si="8">SUM(P66:P72)</f>
        <v>0</v>
      </c>
      <c r="Q73" s="390">
        <f t="shared" si="8"/>
        <v>0</v>
      </c>
      <c r="R73" s="390">
        <f t="shared" si="8"/>
        <v>0</v>
      </c>
      <c r="S73" s="390">
        <f t="shared" si="8"/>
        <v>0</v>
      </c>
      <c r="T73" s="390">
        <f t="shared" si="8"/>
        <v>0</v>
      </c>
      <c r="U73" s="390">
        <f t="shared" si="8"/>
        <v>0</v>
      </c>
      <c r="V73" s="390"/>
      <c r="W73" s="390"/>
      <c r="X73" s="390">
        <f t="shared" si="8"/>
        <v>0</v>
      </c>
      <c r="Y73" s="390">
        <f t="shared" si="8"/>
        <v>0</v>
      </c>
      <c r="Z73" s="390">
        <f>SUM(Z66:Z72)</f>
        <v>0</v>
      </c>
      <c r="AA73" s="411"/>
      <c r="AB73" s="522"/>
      <c r="AC73" s="412"/>
      <c r="AD73" s="522"/>
      <c r="AE73" s="551"/>
    </row>
    <row r="74" spans="1:31">
      <c r="A74" s="59"/>
      <c r="B74" s="59"/>
      <c r="C74" s="59"/>
      <c r="D74" s="59"/>
      <c r="E74" s="59"/>
      <c r="F74" s="59"/>
      <c r="G74" s="59"/>
      <c r="H74" s="59"/>
      <c r="I74" s="59"/>
      <c r="J74" s="59"/>
      <c r="K74" s="77" t="s">
        <v>201</v>
      </c>
      <c r="L74" s="76"/>
      <c r="M74" s="76"/>
      <c r="N74" s="76"/>
      <c r="O74" s="529"/>
      <c r="P74" s="392"/>
      <c r="Q74" s="392"/>
      <c r="R74" s="392"/>
      <c r="S74" s="392">
        <f>+S73-C10</f>
        <v>0</v>
      </c>
      <c r="T74" s="392"/>
      <c r="U74" s="392"/>
      <c r="V74" s="392"/>
      <c r="W74" s="392"/>
      <c r="X74" s="392"/>
      <c r="Y74" s="392"/>
      <c r="Z74" s="392">
        <f>+Z73-D10</f>
        <v>0</v>
      </c>
      <c r="AA74" s="413"/>
      <c r="AB74" s="523"/>
      <c r="AC74" s="413"/>
      <c r="AD74" s="523"/>
      <c r="AE74" s="523"/>
    </row>
    <row r="75" spans="1:31">
      <c r="A75" s="1"/>
      <c r="B75" s="1"/>
      <c r="C75" s="1"/>
      <c r="D75" s="1"/>
      <c r="E75" s="1"/>
      <c r="F75" s="1"/>
      <c r="G75" s="1"/>
      <c r="H75" s="1"/>
      <c r="I75" s="1"/>
      <c r="J75" s="1"/>
      <c r="K75" s="62"/>
      <c r="L75" s="62"/>
      <c r="M75" s="62"/>
      <c r="N75" s="62"/>
      <c r="O75" s="78"/>
      <c r="P75" s="367"/>
      <c r="Q75" s="367"/>
      <c r="R75" s="367"/>
      <c r="S75" s="367"/>
      <c r="T75" s="367"/>
      <c r="U75" s="367"/>
      <c r="V75" s="367"/>
      <c r="W75" s="367"/>
      <c r="X75" s="367"/>
      <c r="Y75" s="367"/>
      <c r="Z75" s="367"/>
      <c r="AA75" s="378"/>
      <c r="AB75" s="519"/>
      <c r="AC75" s="378"/>
      <c r="AD75" s="519"/>
      <c r="AE75" s="519"/>
    </row>
    <row r="76" spans="1:31">
      <c r="A76" s="1"/>
      <c r="B76" s="1"/>
      <c r="C76" s="1"/>
      <c r="D76" s="1"/>
      <c r="E76" s="1"/>
      <c r="F76" s="1"/>
      <c r="G76" s="1"/>
      <c r="H76" s="1"/>
      <c r="I76" s="1"/>
      <c r="J76" s="1"/>
      <c r="K76" s="62"/>
      <c r="L76" s="62"/>
      <c r="M76" s="62"/>
      <c r="N76" s="62"/>
      <c r="O76" s="78"/>
      <c r="P76" s="367"/>
      <c r="Q76" s="367"/>
      <c r="R76" s="367"/>
      <c r="S76" s="367"/>
      <c r="T76" s="367"/>
      <c r="U76" s="367"/>
      <c r="V76" s="367"/>
      <c r="W76" s="367"/>
      <c r="X76" s="367"/>
      <c r="Y76" s="367"/>
      <c r="Z76" s="367"/>
      <c r="AA76" s="378"/>
      <c r="AB76" s="519"/>
      <c r="AC76" s="378"/>
      <c r="AD76" s="519"/>
      <c r="AE76" s="519"/>
    </row>
    <row r="77" spans="1:31">
      <c r="A77" s="1"/>
      <c r="B77" s="1"/>
      <c r="C77" s="1"/>
      <c r="D77" s="1"/>
      <c r="E77" s="1"/>
      <c r="F77" s="1"/>
      <c r="G77" s="1"/>
      <c r="H77" s="1"/>
      <c r="I77" s="1"/>
      <c r="J77" s="1"/>
      <c r="K77" s="62"/>
      <c r="L77" s="62"/>
      <c r="M77" s="62"/>
      <c r="N77" s="62"/>
      <c r="O77" s="78"/>
      <c r="P77" s="367"/>
      <c r="Q77" s="367"/>
      <c r="R77" s="367"/>
      <c r="S77" s="367"/>
      <c r="T77" s="367"/>
      <c r="U77" s="367"/>
      <c r="V77" s="367"/>
      <c r="W77" s="367"/>
      <c r="X77" s="367"/>
      <c r="Y77" s="367"/>
      <c r="Z77" s="367"/>
      <c r="AA77" s="378"/>
      <c r="AB77" s="519"/>
      <c r="AC77" s="378"/>
      <c r="AD77" s="519"/>
      <c r="AE77" s="519"/>
    </row>
    <row r="78" spans="1:31">
      <c r="A78" s="1"/>
      <c r="B78" s="1"/>
      <c r="C78" s="1"/>
      <c r="D78" s="1"/>
      <c r="E78" s="1"/>
      <c r="F78" s="1"/>
      <c r="G78" s="1"/>
      <c r="H78" s="1"/>
      <c r="I78" s="1"/>
      <c r="J78" s="1"/>
      <c r="K78" s="74"/>
      <c r="L78" s="72"/>
      <c r="M78" s="65"/>
      <c r="N78" s="72"/>
      <c r="O78" s="533"/>
      <c r="P78" s="395"/>
      <c r="Q78" s="395"/>
      <c r="R78" s="395"/>
      <c r="S78" s="396"/>
      <c r="T78" s="395"/>
      <c r="U78" s="395"/>
      <c r="V78" s="395"/>
      <c r="W78" s="395"/>
      <c r="X78" s="395"/>
      <c r="Y78" s="395"/>
      <c r="Z78" s="414"/>
      <c r="AA78" s="400"/>
      <c r="AB78" s="524"/>
      <c r="AC78" s="401"/>
      <c r="AD78" s="524"/>
      <c r="AE78" s="547"/>
    </row>
    <row r="79" spans="1:31">
      <c r="A79" s="1"/>
      <c r="B79" s="1"/>
      <c r="C79" s="1"/>
      <c r="D79" s="1"/>
      <c r="E79" s="1"/>
      <c r="F79" s="1"/>
      <c r="G79" s="1"/>
      <c r="H79" s="1"/>
      <c r="I79" s="1"/>
      <c r="J79" s="1"/>
      <c r="K79" s="67"/>
      <c r="L79" s="63"/>
      <c r="M79" s="65"/>
      <c r="N79" s="63"/>
      <c r="O79" s="514"/>
      <c r="P79" s="381"/>
      <c r="Q79" s="381"/>
      <c r="R79" s="381"/>
      <c r="S79" s="402"/>
      <c r="T79" s="381"/>
      <c r="U79" s="381"/>
      <c r="V79" s="381"/>
      <c r="W79" s="381"/>
      <c r="X79" s="381"/>
      <c r="Y79" s="381"/>
      <c r="Z79" s="367"/>
      <c r="AA79" s="384"/>
      <c r="AB79" s="516"/>
      <c r="AC79" s="386"/>
      <c r="AD79" s="516"/>
      <c r="AE79" s="544"/>
    </row>
    <row r="80" spans="1:31">
      <c r="A80" s="1"/>
      <c r="B80" s="1"/>
      <c r="C80" s="1"/>
      <c r="D80" s="1"/>
      <c r="E80" s="1"/>
      <c r="F80" s="1"/>
      <c r="G80" s="1"/>
      <c r="H80" s="1"/>
      <c r="I80" s="1"/>
      <c r="J80" s="1"/>
      <c r="K80" s="67"/>
      <c r="L80" s="63"/>
      <c r="M80" s="65"/>
      <c r="N80" s="63"/>
      <c r="O80" s="514"/>
      <c r="P80" s="381"/>
      <c r="Q80" s="381"/>
      <c r="R80" s="381"/>
      <c r="S80" s="382">
        <f t="shared" ref="S80:S105" si="9">SUM(P80:R80)</f>
        <v>0</v>
      </c>
      <c r="T80" s="381"/>
      <c r="U80" s="381"/>
      <c r="V80" s="381"/>
      <c r="W80" s="381"/>
      <c r="X80" s="381"/>
      <c r="Y80" s="381"/>
      <c r="Z80" s="402">
        <f t="shared" ref="Z80:Z105" si="10">SUM(T80:Y80)</f>
        <v>0</v>
      </c>
      <c r="AA80" s="384"/>
      <c r="AB80" s="516"/>
      <c r="AC80" s="386"/>
      <c r="AD80" s="519"/>
      <c r="AE80" s="544"/>
    </row>
    <row r="81" spans="1:31">
      <c r="A81" s="1"/>
      <c r="B81" s="1"/>
      <c r="C81" s="1"/>
      <c r="D81" s="1"/>
      <c r="E81" s="1"/>
      <c r="F81" s="1"/>
      <c r="G81" s="1"/>
      <c r="H81" s="1"/>
      <c r="I81" s="1"/>
      <c r="J81" s="1"/>
      <c r="K81" s="67"/>
      <c r="L81" s="63"/>
      <c r="M81" s="65"/>
      <c r="N81" s="63"/>
      <c r="O81" s="514"/>
      <c r="P81" s="381"/>
      <c r="Q81" s="381"/>
      <c r="R81" s="381"/>
      <c r="S81" s="382">
        <f t="shared" si="9"/>
        <v>0</v>
      </c>
      <c r="T81" s="381"/>
      <c r="U81" s="381"/>
      <c r="V81" s="381"/>
      <c r="W81" s="381"/>
      <c r="X81" s="381"/>
      <c r="Y81" s="381"/>
      <c r="Z81" s="402">
        <f t="shared" si="10"/>
        <v>0</v>
      </c>
      <c r="AA81" s="384"/>
      <c r="AB81" s="516"/>
      <c r="AC81" s="386"/>
      <c r="AD81" s="519"/>
      <c r="AE81" s="544"/>
    </row>
    <row r="82" spans="1:31">
      <c r="A82" s="1"/>
      <c r="B82" s="1"/>
      <c r="C82" s="1"/>
      <c r="D82" s="1"/>
      <c r="E82" s="1"/>
      <c r="F82" s="1"/>
      <c r="G82" s="1"/>
      <c r="H82" s="1"/>
      <c r="I82" s="1"/>
      <c r="J82" s="1"/>
      <c r="K82" s="67"/>
      <c r="L82" s="63"/>
      <c r="M82" s="65"/>
      <c r="N82" s="63"/>
      <c r="O82" s="514"/>
      <c r="P82" s="381"/>
      <c r="Q82" s="381"/>
      <c r="R82" s="381"/>
      <c r="S82" s="382">
        <f t="shared" si="9"/>
        <v>0</v>
      </c>
      <c r="T82" s="381"/>
      <c r="U82" s="381"/>
      <c r="V82" s="381"/>
      <c r="W82" s="381"/>
      <c r="X82" s="381"/>
      <c r="Y82" s="381"/>
      <c r="Z82" s="402">
        <f t="shared" si="10"/>
        <v>0</v>
      </c>
      <c r="AA82" s="384"/>
      <c r="AB82" s="516"/>
      <c r="AC82" s="386"/>
      <c r="AD82" s="519"/>
      <c r="AE82" s="544"/>
    </row>
    <row r="83" spans="1:31">
      <c r="A83" s="1"/>
      <c r="B83" s="1"/>
      <c r="C83" s="1"/>
      <c r="D83" s="1"/>
      <c r="E83" s="1"/>
      <c r="F83" s="1"/>
      <c r="G83" s="1"/>
      <c r="H83" s="1"/>
      <c r="I83" s="1"/>
      <c r="J83" s="1"/>
      <c r="K83" s="67"/>
      <c r="L83" s="63"/>
      <c r="M83" s="65"/>
      <c r="N83" s="63"/>
      <c r="O83" s="514"/>
      <c r="P83" s="381"/>
      <c r="Q83" s="381"/>
      <c r="R83" s="381"/>
      <c r="S83" s="382">
        <f t="shared" si="9"/>
        <v>0</v>
      </c>
      <c r="T83" s="381"/>
      <c r="U83" s="381"/>
      <c r="V83" s="381"/>
      <c r="W83" s="381"/>
      <c r="X83" s="381"/>
      <c r="Y83" s="381"/>
      <c r="Z83" s="402">
        <f t="shared" si="10"/>
        <v>0</v>
      </c>
      <c r="AA83" s="384"/>
      <c r="AB83" s="516"/>
      <c r="AC83" s="386"/>
      <c r="AD83" s="519"/>
      <c r="AE83" s="544"/>
    </row>
    <row r="84" spans="1:31">
      <c r="A84" s="1"/>
      <c r="B84" s="1"/>
      <c r="C84" s="1"/>
      <c r="D84" s="1"/>
      <c r="E84" s="1"/>
      <c r="F84" s="1"/>
      <c r="G84" s="1"/>
      <c r="H84" s="1"/>
      <c r="I84" s="1"/>
      <c r="J84" s="1"/>
      <c r="K84" s="67"/>
      <c r="L84" s="63"/>
      <c r="M84" s="65"/>
      <c r="N84" s="63"/>
      <c r="O84" s="514"/>
      <c r="P84" s="381"/>
      <c r="Q84" s="381"/>
      <c r="R84" s="381"/>
      <c r="S84" s="382">
        <f t="shared" si="9"/>
        <v>0</v>
      </c>
      <c r="T84" s="381"/>
      <c r="U84" s="381"/>
      <c r="V84" s="381"/>
      <c r="W84" s="381"/>
      <c r="X84" s="381"/>
      <c r="Y84" s="381"/>
      <c r="Z84" s="402">
        <f t="shared" si="10"/>
        <v>0</v>
      </c>
      <c r="AA84" s="384"/>
      <c r="AB84" s="516"/>
      <c r="AC84" s="386"/>
      <c r="AD84" s="519"/>
      <c r="AE84" s="544"/>
    </row>
    <row r="85" spans="1:31">
      <c r="A85" s="1"/>
      <c r="B85" s="1"/>
      <c r="C85" s="1"/>
      <c r="D85" s="1"/>
      <c r="E85" s="1"/>
      <c r="F85" s="1"/>
      <c r="G85" s="1"/>
      <c r="H85" s="1"/>
      <c r="I85" s="1"/>
      <c r="J85" s="1"/>
      <c r="K85" s="67"/>
      <c r="L85" s="63"/>
      <c r="M85" s="65"/>
      <c r="N85" s="63"/>
      <c r="O85" s="514"/>
      <c r="P85" s="381"/>
      <c r="Q85" s="381"/>
      <c r="R85" s="381"/>
      <c r="S85" s="382">
        <f t="shared" si="9"/>
        <v>0</v>
      </c>
      <c r="T85" s="381"/>
      <c r="U85" s="381"/>
      <c r="V85" s="381"/>
      <c r="W85" s="381"/>
      <c r="X85" s="381"/>
      <c r="Y85" s="381"/>
      <c r="Z85" s="402">
        <f t="shared" si="10"/>
        <v>0</v>
      </c>
      <c r="AA85" s="384"/>
      <c r="AB85" s="516"/>
      <c r="AC85" s="386"/>
      <c r="AD85" s="519"/>
      <c r="AE85" s="544"/>
    </row>
    <row r="86" spans="1:31">
      <c r="A86" s="1"/>
      <c r="B86" s="1"/>
      <c r="C86" s="1"/>
      <c r="D86" s="1"/>
      <c r="E86" s="1"/>
      <c r="F86" s="1"/>
      <c r="G86" s="1"/>
      <c r="H86" s="1"/>
      <c r="I86" s="1"/>
      <c r="J86" s="1"/>
      <c r="K86" s="67"/>
      <c r="L86" s="63"/>
      <c r="M86" s="65"/>
      <c r="N86" s="63"/>
      <c r="O86" s="514"/>
      <c r="P86" s="381"/>
      <c r="Q86" s="381"/>
      <c r="R86" s="381"/>
      <c r="S86" s="382">
        <f t="shared" si="9"/>
        <v>0</v>
      </c>
      <c r="T86" s="381"/>
      <c r="U86" s="381"/>
      <c r="V86" s="381"/>
      <c r="W86" s="381"/>
      <c r="X86" s="381"/>
      <c r="Y86" s="381"/>
      <c r="Z86" s="402">
        <f t="shared" si="10"/>
        <v>0</v>
      </c>
      <c r="AA86" s="384"/>
      <c r="AB86" s="516"/>
      <c r="AC86" s="386"/>
      <c r="AD86" s="519"/>
      <c r="AE86" s="544"/>
    </row>
    <row r="87" spans="1:31">
      <c r="A87" s="1"/>
      <c r="B87" s="1"/>
      <c r="C87" s="1"/>
      <c r="D87" s="1"/>
      <c r="E87" s="1"/>
      <c r="F87" s="1"/>
      <c r="G87" s="1"/>
      <c r="H87" s="1"/>
      <c r="I87" s="1"/>
      <c r="J87" s="1"/>
      <c r="K87" s="67"/>
      <c r="L87" s="63"/>
      <c r="M87" s="65"/>
      <c r="N87" s="63"/>
      <c r="O87" s="514"/>
      <c r="P87" s="381"/>
      <c r="Q87" s="381"/>
      <c r="R87" s="381"/>
      <c r="S87" s="382">
        <f t="shared" si="9"/>
        <v>0</v>
      </c>
      <c r="T87" s="381"/>
      <c r="U87" s="381"/>
      <c r="V87" s="381"/>
      <c r="W87" s="381"/>
      <c r="X87" s="381"/>
      <c r="Y87" s="381"/>
      <c r="Z87" s="402">
        <f t="shared" si="10"/>
        <v>0</v>
      </c>
      <c r="AA87" s="384"/>
      <c r="AB87" s="516"/>
      <c r="AC87" s="386"/>
      <c r="AD87" s="519"/>
      <c r="AE87" s="544"/>
    </row>
    <row r="88" spans="1:31">
      <c r="A88" s="1"/>
      <c r="B88" s="1"/>
      <c r="C88" s="1"/>
      <c r="D88" s="1"/>
      <c r="E88" s="1"/>
      <c r="F88" s="1"/>
      <c r="G88" s="1"/>
      <c r="H88" s="1"/>
      <c r="I88" s="1"/>
      <c r="J88" s="1"/>
      <c r="K88" s="67"/>
      <c r="L88" s="63"/>
      <c r="M88" s="65"/>
      <c r="N88" s="63"/>
      <c r="O88" s="514"/>
      <c r="P88" s="381"/>
      <c r="Q88" s="381"/>
      <c r="R88" s="381"/>
      <c r="S88" s="382">
        <f t="shared" si="9"/>
        <v>0</v>
      </c>
      <c r="T88" s="381"/>
      <c r="U88" s="381"/>
      <c r="V88" s="381"/>
      <c r="W88" s="381"/>
      <c r="X88" s="381"/>
      <c r="Y88" s="381"/>
      <c r="Z88" s="402">
        <f t="shared" si="10"/>
        <v>0</v>
      </c>
      <c r="AA88" s="384"/>
      <c r="AB88" s="516"/>
      <c r="AC88" s="386"/>
      <c r="AD88" s="519"/>
      <c r="AE88" s="544"/>
    </row>
    <row r="89" spans="1:31">
      <c r="A89" s="1"/>
      <c r="B89" s="1"/>
      <c r="C89" s="1"/>
      <c r="D89" s="1"/>
      <c r="E89" s="1"/>
      <c r="F89" s="1"/>
      <c r="G89" s="1"/>
      <c r="H89" s="1"/>
      <c r="I89" s="1"/>
      <c r="J89" s="1"/>
      <c r="K89" s="67"/>
      <c r="L89" s="63"/>
      <c r="M89" s="65"/>
      <c r="N89" s="63"/>
      <c r="O89" s="514"/>
      <c r="P89" s="381"/>
      <c r="Q89" s="381"/>
      <c r="R89" s="381"/>
      <c r="S89" s="382">
        <f t="shared" si="9"/>
        <v>0</v>
      </c>
      <c r="T89" s="381"/>
      <c r="U89" s="381"/>
      <c r="V89" s="381"/>
      <c r="W89" s="381"/>
      <c r="X89" s="381"/>
      <c r="Y89" s="381"/>
      <c r="Z89" s="402">
        <f t="shared" si="10"/>
        <v>0</v>
      </c>
      <c r="AA89" s="384"/>
      <c r="AB89" s="516"/>
      <c r="AC89" s="386"/>
      <c r="AD89" s="519"/>
      <c r="AE89" s="544"/>
    </row>
    <row r="90" spans="1:31">
      <c r="A90" s="1"/>
      <c r="B90" s="1"/>
      <c r="C90" s="1"/>
      <c r="D90" s="1"/>
      <c r="E90" s="1"/>
      <c r="F90" s="1"/>
      <c r="G90" s="1"/>
      <c r="H90" s="1"/>
      <c r="I90" s="1"/>
      <c r="J90" s="1"/>
      <c r="K90" s="67"/>
      <c r="L90" s="63"/>
      <c r="M90" s="65"/>
      <c r="N90" s="63"/>
      <c r="O90" s="514"/>
      <c r="P90" s="381"/>
      <c r="Q90" s="381"/>
      <c r="R90" s="381"/>
      <c r="S90" s="382">
        <f t="shared" si="9"/>
        <v>0</v>
      </c>
      <c r="T90" s="381"/>
      <c r="U90" s="381"/>
      <c r="V90" s="381"/>
      <c r="W90" s="381"/>
      <c r="X90" s="381"/>
      <c r="Y90" s="381"/>
      <c r="Z90" s="402">
        <f t="shared" si="10"/>
        <v>0</v>
      </c>
      <c r="AA90" s="384"/>
      <c r="AB90" s="516"/>
      <c r="AC90" s="386"/>
      <c r="AD90" s="519"/>
      <c r="AE90" s="544"/>
    </row>
    <row r="91" spans="1:31">
      <c r="A91" s="1"/>
      <c r="B91" s="1"/>
      <c r="C91" s="1"/>
      <c r="D91" s="1"/>
      <c r="E91" s="1"/>
      <c r="F91" s="1"/>
      <c r="G91" s="1"/>
      <c r="H91" s="1"/>
      <c r="I91" s="1"/>
      <c r="J91" s="1"/>
      <c r="K91" s="67"/>
      <c r="L91" s="63"/>
      <c r="M91" s="65"/>
      <c r="N91" s="63"/>
      <c r="O91" s="514"/>
      <c r="P91" s="381"/>
      <c r="Q91" s="381"/>
      <c r="R91" s="381"/>
      <c r="S91" s="382">
        <f t="shared" si="9"/>
        <v>0</v>
      </c>
      <c r="T91" s="381"/>
      <c r="U91" s="381"/>
      <c r="V91" s="381"/>
      <c r="W91" s="381"/>
      <c r="X91" s="381"/>
      <c r="Y91" s="381"/>
      <c r="Z91" s="402">
        <f t="shared" si="10"/>
        <v>0</v>
      </c>
      <c r="AA91" s="384"/>
      <c r="AB91" s="516"/>
      <c r="AC91" s="386"/>
      <c r="AD91" s="519"/>
      <c r="AE91" s="544"/>
    </row>
    <row r="92" spans="1:31">
      <c r="A92" s="1"/>
      <c r="B92" s="1"/>
      <c r="C92" s="1"/>
      <c r="D92" s="1"/>
      <c r="E92" s="1"/>
      <c r="F92" s="1"/>
      <c r="G92" s="1"/>
      <c r="H92" s="1"/>
      <c r="I92" s="1"/>
      <c r="J92" s="1"/>
      <c r="K92" s="67"/>
      <c r="L92" s="63"/>
      <c r="M92" s="65"/>
      <c r="N92" s="63"/>
      <c r="O92" s="514"/>
      <c r="P92" s="381"/>
      <c r="Q92" s="381"/>
      <c r="R92" s="381"/>
      <c r="S92" s="382">
        <f t="shared" si="9"/>
        <v>0</v>
      </c>
      <c r="T92" s="381"/>
      <c r="U92" s="381"/>
      <c r="V92" s="381"/>
      <c r="W92" s="381"/>
      <c r="X92" s="381"/>
      <c r="Y92" s="381"/>
      <c r="Z92" s="402">
        <f t="shared" si="10"/>
        <v>0</v>
      </c>
      <c r="AA92" s="384"/>
      <c r="AB92" s="516"/>
      <c r="AC92" s="386"/>
      <c r="AD92" s="519"/>
      <c r="AE92" s="544"/>
    </row>
    <row r="93" spans="1:31">
      <c r="A93" s="1"/>
      <c r="B93" s="1"/>
      <c r="C93" s="1"/>
      <c r="D93" s="1"/>
      <c r="E93" s="1"/>
      <c r="F93" s="1"/>
      <c r="G93" s="1"/>
      <c r="H93" s="1"/>
      <c r="I93" s="1"/>
      <c r="J93" s="1"/>
      <c r="K93" s="67"/>
      <c r="L93" s="63"/>
      <c r="M93" s="65"/>
      <c r="N93" s="63"/>
      <c r="O93" s="514"/>
      <c r="P93" s="381"/>
      <c r="Q93" s="381"/>
      <c r="R93" s="381"/>
      <c r="S93" s="382">
        <f t="shared" si="9"/>
        <v>0</v>
      </c>
      <c r="T93" s="381"/>
      <c r="U93" s="381"/>
      <c r="V93" s="381"/>
      <c r="W93" s="381"/>
      <c r="X93" s="381"/>
      <c r="Y93" s="381"/>
      <c r="Z93" s="402">
        <f t="shared" si="10"/>
        <v>0</v>
      </c>
      <c r="AA93" s="384"/>
      <c r="AB93" s="516"/>
      <c r="AC93" s="386"/>
      <c r="AD93" s="519"/>
      <c r="AE93" s="544"/>
    </row>
    <row r="94" spans="1:31">
      <c r="A94" s="1"/>
      <c r="B94" s="1"/>
      <c r="C94" s="1"/>
      <c r="D94" s="1"/>
      <c r="E94" s="1"/>
      <c r="F94" s="1"/>
      <c r="G94" s="1"/>
      <c r="H94" s="1"/>
      <c r="I94" s="1"/>
      <c r="J94" s="1"/>
      <c r="K94" s="67"/>
      <c r="L94" s="63"/>
      <c r="M94" s="65"/>
      <c r="N94" s="63"/>
      <c r="O94" s="514"/>
      <c r="P94" s="381"/>
      <c r="Q94" s="381"/>
      <c r="R94" s="381"/>
      <c r="S94" s="382">
        <f t="shared" si="9"/>
        <v>0</v>
      </c>
      <c r="T94" s="381"/>
      <c r="U94" s="381"/>
      <c r="V94" s="381"/>
      <c r="W94" s="381"/>
      <c r="X94" s="381"/>
      <c r="Y94" s="381"/>
      <c r="Z94" s="402">
        <f t="shared" si="10"/>
        <v>0</v>
      </c>
      <c r="AA94" s="384"/>
      <c r="AB94" s="516"/>
      <c r="AC94" s="386"/>
      <c r="AD94" s="519"/>
      <c r="AE94" s="544"/>
    </row>
    <row r="95" spans="1:31">
      <c r="A95" s="1"/>
      <c r="B95" s="1"/>
      <c r="C95" s="1"/>
      <c r="D95" s="1"/>
      <c r="E95" s="1"/>
      <c r="F95" s="1"/>
      <c r="G95" s="1"/>
      <c r="H95" s="1"/>
      <c r="I95" s="1"/>
      <c r="J95" s="1"/>
      <c r="K95" s="67"/>
      <c r="L95" s="63"/>
      <c r="M95" s="65"/>
      <c r="N95" s="63"/>
      <c r="O95" s="514"/>
      <c r="P95" s="381"/>
      <c r="Q95" s="381"/>
      <c r="R95" s="378"/>
      <c r="S95" s="382">
        <f t="shared" si="9"/>
        <v>0</v>
      </c>
      <c r="T95" s="381"/>
      <c r="U95" s="381"/>
      <c r="V95" s="381"/>
      <c r="W95" s="381"/>
      <c r="X95" s="381"/>
      <c r="Y95" s="381"/>
      <c r="Z95" s="402">
        <f t="shared" si="10"/>
        <v>0</v>
      </c>
      <c r="AA95" s="384"/>
      <c r="AB95" s="519"/>
      <c r="AC95" s="387"/>
      <c r="AD95" s="519"/>
      <c r="AE95" s="544"/>
    </row>
    <row r="96" spans="1:31">
      <c r="A96" s="1"/>
      <c r="B96" s="1"/>
      <c r="C96" s="1"/>
      <c r="D96" s="1"/>
      <c r="E96" s="1"/>
      <c r="F96" s="1"/>
      <c r="G96" s="1"/>
      <c r="H96" s="1"/>
      <c r="I96" s="1"/>
      <c r="J96" s="1"/>
      <c r="K96" s="67"/>
      <c r="L96" s="63"/>
      <c r="M96" s="65"/>
      <c r="N96" s="63"/>
      <c r="O96" s="514"/>
      <c r="P96" s="381"/>
      <c r="Q96" s="381"/>
      <c r="R96" s="378"/>
      <c r="S96" s="382">
        <f t="shared" si="9"/>
        <v>0</v>
      </c>
      <c r="T96" s="381"/>
      <c r="U96" s="381"/>
      <c r="V96" s="381"/>
      <c r="W96" s="381"/>
      <c r="X96" s="381"/>
      <c r="Y96" s="381"/>
      <c r="Z96" s="402">
        <f t="shared" si="10"/>
        <v>0</v>
      </c>
      <c r="AA96" s="384"/>
      <c r="AB96" s="516"/>
      <c r="AC96" s="386"/>
      <c r="AD96" s="545"/>
      <c r="AE96" s="544"/>
    </row>
    <row r="97" spans="1:31">
      <c r="A97" s="1"/>
      <c r="B97" s="1"/>
      <c r="C97" s="1"/>
      <c r="D97" s="1"/>
      <c r="E97" s="1"/>
      <c r="F97" s="1"/>
      <c r="G97" s="1"/>
      <c r="H97" s="1"/>
      <c r="I97" s="1"/>
      <c r="J97" s="1"/>
      <c r="K97" s="67"/>
      <c r="L97" s="63"/>
      <c r="M97" s="65"/>
      <c r="N97" s="63"/>
      <c r="O97" s="514"/>
      <c r="P97" s="381"/>
      <c r="Q97" s="381"/>
      <c r="R97" s="378"/>
      <c r="S97" s="382">
        <f t="shared" si="9"/>
        <v>0</v>
      </c>
      <c r="T97" s="381"/>
      <c r="U97" s="381"/>
      <c r="V97" s="381"/>
      <c r="W97" s="381"/>
      <c r="X97" s="381"/>
      <c r="Y97" s="381"/>
      <c r="Z97" s="402">
        <f t="shared" si="10"/>
        <v>0</v>
      </c>
      <c r="AA97" s="384"/>
      <c r="AB97" s="519"/>
      <c r="AC97" s="387"/>
      <c r="AD97" s="545"/>
      <c r="AE97" s="544"/>
    </row>
    <row r="98" spans="1:31">
      <c r="A98" s="1"/>
      <c r="B98" s="1"/>
      <c r="C98" s="1"/>
      <c r="D98" s="1"/>
      <c r="E98" s="1"/>
      <c r="F98" s="1"/>
      <c r="G98" s="1"/>
      <c r="H98" s="1"/>
      <c r="I98" s="1"/>
      <c r="J98" s="1"/>
      <c r="K98" s="67"/>
      <c r="L98" s="63"/>
      <c r="M98" s="65"/>
      <c r="N98" s="63"/>
      <c r="O98" s="514"/>
      <c r="P98" s="381"/>
      <c r="Q98" s="381"/>
      <c r="R98" s="378"/>
      <c r="S98" s="382">
        <f t="shared" si="9"/>
        <v>0</v>
      </c>
      <c r="T98" s="381"/>
      <c r="U98" s="381"/>
      <c r="V98" s="381"/>
      <c r="W98" s="381"/>
      <c r="X98" s="381"/>
      <c r="Y98" s="381"/>
      <c r="Z98" s="402">
        <f t="shared" si="10"/>
        <v>0</v>
      </c>
      <c r="AA98" s="384"/>
      <c r="AB98" s="516"/>
      <c r="AC98" s="386"/>
      <c r="AD98" s="545"/>
      <c r="AE98" s="544"/>
    </row>
    <row r="99" spans="1:31">
      <c r="A99" s="1"/>
      <c r="B99" s="1"/>
      <c r="C99" s="1"/>
      <c r="D99" s="1"/>
      <c r="E99" s="1"/>
      <c r="F99" s="1"/>
      <c r="G99" s="1"/>
      <c r="H99" s="1"/>
      <c r="I99" s="1"/>
      <c r="J99" s="1"/>
      <c r="K99" s="67"/>
      <c r="L99" s="63"/>
      <c r="M99" s="65"/>
      <c r="N99" s="63"/>
      <c r="O99" s="514"/>
      <c r="P99" s="381"/>
      <c r="Q99" s="381"/>
      <c r="R99" s="378"/>
      <c r="S99" s="382">
        <f t="shared" si="9"/>
        <v>0</v>
      </c>
      <c r="T99" s="381"/>
      <c r="U99" s="381"/>
      <c r="V99" s="381"/>
      <c r="W99" s="381"/>
      <c r="X99" s="381"/>
      <c r="Y99" s="381"/>
      <c r="Z99" s="402">
        <f t="shared" si="10"/>
        <v>0</v>
      </c>
      <c r="AA99" s="384"/>
      <c r="AB99" s="516"/>
      <c r="AC99" s="386"/>
      <c r="AD99" s="545"/>
      <c r="AE99" s="544"/>
    </row>
    <row r="100" spans="1:31">
      <c r="A100" s="1"/>
      <c r="B100" s="1"/>
      <c r="C100" s="1"/>
      <c r="D100" s="1"/>
      <c r="E100" s="1"/>
      <c r="F100" s="1"/>
      <c r="G100" s="1"/>
      <c r="H100" s="1"/>
      <c r="I100" s="1"/>
      <c r="J100" s="1"/>
      <c r="K100" s="67"/>
      <c r="L100" s="63"/>
      <c r="M100" s="65"/>
      <c r="N100" s="63"/>
      <c r="O100" s="514"/>
      <c r="P100" s="381"/>
      <c r="Q100" s="381"/>
      <c r="R100" s="378"/>
      <c r="S100" s="382">
        <f t="shared" si="9"/>
        <v>0</v>
      </c>
      <c r="T100" s="381"/>
      <c r="U100" s="381"/>
      <c r="V100" s="381"/>
      <c r="W100" s="381"/>
      <c r="X100" s="381"/>
      <c r="Y100" s="381"/>
      <c r="Z100" s="402">
        <f t="shared" si="10"/>
        <v>0</v>
      </c>
      <c r="AA100" s="384"/>
      <c r="AB100" s="516"/>
      <c r="AC100" s="386"/>
      <c r="AD100" s="548"/>
      <c r="AE100" s="544"/>
    </row>
    <row r="101" spans="1:31">
      <c r="A101" s="1"/>
      <c r="B101" s="1"/>
      <c r="C101" s="1"/>
      <c r="D101" s="1"/>
      <c r="E101" s="1"/>
      <c r="F101" s="1"/>
      <c r="G101" s="1"/>
      <c r="H101" s="1"/>
      <c r="I101" s="1"/>
      <c r="J101" s="1"/>
      <c r="K101" s="67"/>
      <c r="L101" s="63"/>
      <c r="M101" s="65"/>
      <c r="N101" s="63"/>
      <c r="O101" s="514"/>
      <c r="P101" s="381"/>
      <c r="Q101" s="381"/>
      <c r="R101" s="378"/>
      <c r="S101" s="382">
        <f t="shared" si="9"/>
        <v>0</v>
      </c>
      <c r="T101" s="381"/>
      <c r="U101" s="381"/>
      <c r="V101" s="381"/>
      <c r="W101" s="381"/>
      <c r="X101" s="381"/>
      <c r="Y101" s="381"/>
      <c r="Z101" s="402">
        <f t="shared" si="10"/>
        <v>0</v>
      </c>
      <c r="AA101" s="384"/>
      <c r="AB101" s="516"/>
      <c r="AC101" s="386"/>
      <c r="AD101" s="548"/>
      <c r="AE101" s="544"/>
    </row>
    <row r="102" spans="1:31">
      <c r="A102" s="1"/>
      <c r="B102" s="1"/>
      <c r="C102" s="1"/>
      <c r="D102" s="1"/>
      <c r="E102" s="1"/>
      <c r="F102" s="1"/>
      <c r="G102" s="1"/>
      <c r="H102" s="1"/>
      <c r="I102" s="1"/>
      <c r="J102" s="1"/>
      <c r="K102" s="67"/>
      <c r="L102" s="63"/>
      <c r="M102" s="65"/>
      <c r="N102" s="63"/>
      <c r="O102" s="514"/>
      <c r="P102" s="381"/>
      <c r="Q102" s="381"/>
      <c r="R102" s="378"/>
      <c r="S102" s="382">
        <f t="shared" si="9"/>
        <v>0</v>
      </c>
      <c r="T102" s="381"/>
      <c r="U102" s="381"/>
      <c r="V102" s="381"/>
      <c r="W102" s="381"/>
      <c r="X102" s="381"/>
      <c r="Y102" s="381"/>
      <c r="Z102" s="402">
        <f t="shared" si="10"/>
        <v>0</v>
      </c>
      <c r="AA102" s="384"/>
      <c r="AB102" s="516"/>
      <c r="AC102" s="386"/>
      <c r="AD102" s="548"/>
      <c r="AE102" s="544"/>
    </row>
    <row r="103" spans="1:31">
      <c r="A103" s="1"/>
      <c r="B103" s="1"/>
      <c r="C103" s="1"/>
      <c r="D103" s="1"/>
      <c r="E103" s="1"/>
      <c r="F103" s="1"/>
      <c r="G103" s="1"/>
      <c r="H103" s="1"/>
      <c r="I103" s="1"/>
      <c r="J103" s="1"/>
      <c r="K103" s="67"/>
      <c r="L103" s="63"/>
      <c r="M103" s="65"/>
      <c r="N103" s="63"/>
      <c r="O103" s="514"/>
      <c r="P103" s="381"/>
      <c r="Q103" s="381"/>
      <c r="R103" s="378"/>
      <c r="S103" s="382">
        <f t="shared" si="9"/>
        <v>0</v>
      </c>
      <c r="T103" s="381"/>
      <c r="U103" s="381"/>
      <c r="V103" s="381"/>
      <c r="W103" s="381"/>
      <c r="X103" s="381"/>
      <c r="Y103" s="381"/>
      <c r="Z103" s="402">
        <f t="shared" si="10"/>
        <v>0</v>
      </c>
      <c r="AA103" s="384"/>
      <c r="AB103" s="516"/>
      <c r="AC103" s="386"/>
      <c r="AD103" s="545"/>
      <c r="AE103" s="544"/>
    </row>
    <row r="104" spans="1:31">
      <c r="A104" s="1"/>
      <c r="B104" s="1"/>
      <c r="C104" s="1"/>
      <c r="D104" s="1"/>
      <c r="E104" s="1"/>
      <c r="F104" s="1"/>
      <c r="G104" s="1"/>
      <c r="H104" s="1"/>
      <c r="I104" s="1"/>
      <c r="J104" s="1"/>
      <c r="K104" s="67"/>
      <c r="L104" s="63"/>
      <c r="M104" s="65"/>
      <c r="N104" s="63"/>
      <c r="O104" s="514"/>
      <c r="P104" s="381"/>
      <c r="Q104" s="381"/>
      <c r="R104" s="378"/>
      <c r="S104" s="382">
        <f t="shared" si="9"/>
        <v>0</v>
      </c>
      <c r="T104" s="381"/>
      <c r="U104" s="381"/>
      <c r="V104" s="381"/>
      <c r="W104" s="381"/>
      <c r="X104" s="381"/>
      <c r="Y104" s="381"/>
      <c r="Z104" s="402">
        <f t="shared" si="10"/>
        <v>0</v>
      </c>
      <c r="AA104" s="384"/>
      <c r="AB104" s="516"/>
      <c r="AC104" s="386"/>
      <c r="AD104" s="545"/>
      <c r="AE104" s="544"/>
    </row>
    <row r="105" spans="1:31">
      <c r="A105" s="1"/>
      <c r="B105" s="1"/>
      <c r="C105" s="1"/>
      <c r="D105" s="1"/>
      <c r="E105" s="1"/>
      <c r="F105" s="1"/>
      <c r="G105" s="1"/>
      <c r="H105" s="1"/>
      <c r="I105" s="1"/>
      <c r="J105" s="1"/>
      <c r="K105" s="68"/>
      <c r="L105" s="69"/>
      <c r="M105" s="65"/>
      <c r="N105" s="69"/>
      <c r="O105" s="531"/>
      <c r="P105" s="403"/>
      <c r="Q105" s="403"/>
      <c r="R105" s="404"/>
      <c r="S105" s="405">
        <f t="shared" si="9"/>
        <v>0</v>
      </c>
      <c r="T105" s="403"/>
      <c r="U105" s="403"/>
      <c r="V105" s="403"/>
      <c r="W105" s="403"/>
      <c r="X105" s="403"/>
      <c r="Y105" s="403"/>
      <c r="Z105" s="406">
        <f t="shared" si="10"/>
        <v>0</v>
      </c>
      <c r="AA105" s="407"/>
      <c r="AB105" s="521"/>
      <c r="AC105" s="409"/>
      <c r="AD105" s="549"/>
      <c r="AE105" s="550"/>
    </row>
    <row r="106" spans="1:31">
      <c r="A106" s="1"/>
      <c r="B106" s="1"/>
      <c r="C106" s="1"/>
      <c r="D106" s="1"/>
      <c r="E106" s="1"/>
      <c r="F106" s="1"/>
      <c r="G106" s="1"/>
      <c r="H106" s="1"/>
      <c r="I106" s="1"/>
      <c r="J106" s="1"/>
      <c r="K106" s="285" t="s">
        <v>528</v>
      </c>
      <c r="L106" s="287"/>
      <c r="M106" s="286"/>
      <c r="N106" s="287"/>
      <c r="O106" s="534"/>
      <c r="P106" s="390">
        <f t="shared" ref="P106:Z106" si="11">SUM(P79:P105)</f>
        <v>0</v>
      </c>
      <c r="Q106" s="390">
        <f t="shared" si="11"/>
        <v>0</v>
      </c>
      <c r="R106" s="390">
        <f t="shared" si="11"/>
        <v>0</v>
      </c>
      <c r="S106" s="390">
        <f t="shared" si="11"/>
        <v>0</v>
      </c>
      <c r="T106" s="390">
        <f t="shared" si="11"/>
        <v>0</v>
      </c>
      <c r="U106" s="390">
        <f t="shared" si="11"/>
        <v>0</v>
      </c>
      <c r="V106" s="390"/>
      <c r="W106" s="390"/>
      <c r="X106" s="390">
        <f t="shared" si="11"/>
        <v>0</v>
      </c>
      <c r="Y106" s="390">
        <f t="shared" si="11"/>
        <v>0</v>
      </c>
      <c r="Z106" s="390">
        <f t="shared" si="11"/>
        <v>0</v>
      </c>
      <c r="AA106" s="411"/>
      <c r="AB106" s="522"/>
      <c r="AC106" s="412"/>
      <c r="AD106" s="522"/>
      <c r="AE106" s="551"/>
    </row>
    <row r="107" spans="1:31">
      <c r="A107" s="1"/>
      <c r="B107" s="1"/>
      <c r="C107" s="1"/>
      <c r="D107" s="1"/>
      <c r="E107" s="1"/>
      <c r="F107" s="1"/>
      <c r="G107" s="1"/>
      <c r="H107" s="1"/>
      <c r="I107" s="1"/>
      <c r="J107" s="1"/>
      <c r="K107" s="77" t="s">
        <v>201</v>
      </c>
      <c r="L107" s="77"/>
      <c r="M107" s="77"/>
      <c r="N107" s="77"/>
      <c r="O107" s="529"/>
      <c r="P107" s="392"/>
      <c r="Q107" s="392"/>
      <c r="R107" s="392"/>
      <c r="S107" s="392">
        <f>+S106-C12</f>
        <v>0</v>
      </c>
      <c r="T107" s="392"/>
      <c r="U107" s="392"/>
      <c r="V107" s="392"/>
      <c r="W107" s="392"/>
      <c r="X107" s="392"/>
      <c r="Y107" s="392"/>
      <c r="Z107" s="392">
        <f>+Z106-D12</f>
        <v>0</v>
      </c>
      <c r="AA107" s="392"/>
      <c r="AB107" s="518"/>
      <c r="AC107" s="392"/>
      <c r="AD107" s="518"/>
      <c r="AE107" s="518"/>
    </row>
    <row r="108" spans="1:31">
      <c r="A108" s="1"/>
      <c r="B108" s="1"/>
      <c r="C108" s="1"/>
      <c r="D108" s="1"/>
      <c r="E108" s="1"/>
      <c r="F108" s="1"/>
      <c r="G108" s="1"/>
      <c r="H108" s="1"/>
      <c r="I108" s="1"/>
      <c r="J108" s="1"/>
      <c r="K108" s="62"/>
      <c r="L108" s="62"/>
      <c r="M108" s="62"/>
      <c r="N108" s="62"/>
      <c r="O108" s="514"/>
      <c r="P108" s="367"/>
      <c r="Q108" s="367"/>
      <c r="R108" s="367"/>
      <c r="S108" s="367"/>
      <c r="T108" s="367"/>
      <c r="U108" s="367"/>
      <c r="V108" s="367"/>
      <c r="W108" s="367"/>
      <c r="X108" s="367"/>
      <c r="Y108" s="367"/>
      <c r="Z108" s="367"/>
      <c r="AA108" s="378"/>
      <c r="AB108" s="519"/>
      <c r="AC108" s="378"/>
      <c r="AD108" s="519"/>
      <c r="AE108" s="519"/>
    </row>
    <row r="109" spans="1:31">
      <c r="A109" s="1"/>
      <c r="B109" s="1"/>
      <c r="C109" s="1"/>
      <c r="D109" s="1"/>
      <c r="E109" s="1"/>
      <c r="F109" s="1"/>
      <c r="G109" s="1"/>
      <c r="H109" s="1"/>
      <c r="I109" s="1"/>
      <c r="J109" s="1"/>
      <c r="K109" s="74"/>
      <c r="L109" s="72"/>
      <c r="M109" s="65"/>
      <c r="N109" s="72"/>
      <c r="O109" s="530"/>
      <c r="P109" s="395"/>
      <c r="Q109" s="396"/>
      <c r="R109" s="396"/>
      <c r="S109" s="396"/>
      <c r="T109" s="395"/>
      <c r="U109" s="414"/>
      <c r="V109" s="414"/>
      <c r="W109" s="414"/>
      <c r="X109" s="414"/>
      <c r="Y109" s="395"/>
      <c r="Z109" s="396"/>
      <c r="AA109" s="394"/>
      <c r="AB109" s="524"/>
      <c r="AC109" s="401"/>
      <c r="AD109" s="524"/>
      <c r="AE109" s="547"/>
    </row>
    <row r="110" spans="1:31">
      <c r="A110" s="1"/>
      <c r="B110" s="1"/>
      <c r="C110" s="1"/>
      <c r="D110" s="1"/>
      <c r="E110" s="1"/>
      <c r="F110" s="1"/>
      <c r="G110" s="1"/>
      <c r="H110" s="1"/>
      <c r="I110" s="1"/>
      <c r="J110" s="1"/>
      <c r="K110" s="66"/>
      <c r="L110" s="62"/>
      <c r="M110" s="65"/>
      <c r="N110" s="62"/>
      <c r="O110" s="514"/>
      <c r="P110" s="381"/>
      <c r="Q110" s="378"/>
      <c r="R110" s="381"/>
      <c r="S110" s="382">
        <f t="shared" ref="S110:S112" si="12">SUM(P110:R110)</f>
        <v>0</v>
      </c>
      <c r="T110" s="381"/>
      <c r="U110" s="378"/>
      <c r="V110" s="378"/>
      <c r="W110" s="378"/>
      <c r="X110" s="378"/>
      <c r="Y110" s="381"/>
      <c r="Z110" s="382">
        <f t="shared" ref="Z110:Z112" si="13">SUM(T110:Y110)</f>
        <v>0</v>
      </c>
      <c r="AA110" s="385"/>
      <c r="AB110" s="516"/>
      <c r="AC110" s="386"/>
      <c r="AD110" s="516"/>
      <c r="AE110" s="544"/>
    </row>
    <row r="111" spans="1:31">
      <c r="A111" s="1"/>
      <c r="B111" s="1"/>
      <c r="C111" s="1"/>
      <c r="D111" s="1"/>
      <c r="E111" s="1"/>
      <c r="F111" s="1"/>
      <c r="G111" s="1"/>
      <c r="H111" s="1"/>
      <c r="I111" s="1"/>
      <c r="J111" s="1"/>
      <c r="K111" s="66"/>
      <c r="L111" s="62"/>
      <c r="M111" s="65"/>
      <c r="N111" s="62"/>
      <c r="O111" s="514"/>
      <c r="P111" s="381"/>
      <c r="Q111" s="378"/>
      <c r="R111" s="381"/>
      <c r="S111" s="382">
        <f t="shared" si="12"/>
        <v>0</v>
      </c>
      <c r="T111" s="387"/>
      <c r="U111" s="378"/>
      <c r="V111" s="378"/>
      <c r="W111" s="378"/>
      <c r="X111" s="378"/>
      <c r="Y111" s="381"/>
      <c r="Z111" s="382">
        <f t="shared" si="13"/>
        <v>0</v>
      </c>
      <c r="AA111" s="385"/>
      <c r="AB111" s="516"/>
      <c r="AC111" s="386"/>
      <c r="AD111" s="516"/>
      <c r="AE111" s="544"/>
    </row>
    <row r="112" spans="1:31">
      <c r="A112" s="1"/>
      <c r="B112" s="1"/>
      <c r="C112" s="1"/>
      <c r="D112" s="1"/>
      <c r="E112" s="1"/>
      <c r="F112" s="1"/>
      <c r="G112" s="1"/>
      <c r="H112" s="1"/>
      <c r="I112" s="1"/>
      <c r="J112" s="1"/>
      <c r="K112" s="70"/>
      <c r="L112" s="71"/>
      <c r="M112" s="65"/>
      <c r="N112" s="71"/>
      <c r="O112" s="535"/>
      <c r="P112" s="403"/>
      <c r="Q112" s="404"/>
      <c r="R112" s="403"/>
      <c r="S112" s="405">
        <f t="shared" si="12"/>
        <v>0</v>
      </c>
      <c r="T112" s="403"/>
      <c r="U112" s="404"/>
      <c r="V112" s="404"/>
      <c r="W112" s="404"/>
      <c r="X112" s="404"/>
      <c r="Y112" s="403"/>
      <c r="Z112" s="405">
        <f t="shared" si="13"/>
        <v>0</v>
      </c>
      <c r="AA112" s="408"/>
      <c r="AB112" s="525"/>
      <c r="AC112" s="410"/>
      <c r="AD112" s="525"/>
      <c r="AE112" s="550"/>
    </row>
    <row r="113" spans="1:31">
      <c r="A113" s="1"/>
      <c r="B113" s="1"/>
      <c r="C113" s="1"/>
      <c r="D113" s="1"/>
      <c r="E113" s="1"/>
      <c r="F113" s="1"/>
      <c r="G113" s="1"/>
      <c r="H113" s="1"/>
      <c r="I113" s="1"/>
      <c r="J113" s="1"/>
      <c r="K113" s="285" t="s">
        <v>510</v>
      </c>
      <c r="L113" s="288"/>
      <c r="M113" s="288"/>
      <c r="N113" s="288"/>
      <c r="O113" s="536"/>
      <c r="P113" s="390">
        <f>+SUM(P110:P112)</f>
        <v>0</v>
      </c>
      <c r="Q113" s="390">
        <f t="shared" ref="Q113:Z113" si="14">+SUM(Q110:Q112)</f>
        <v>0</v>
      </c>
      <c r="R113" s="390">
        <f t="shared" si="14"/>
        <v>0</v>
      </c>
      <c r="S113" s="415">
        <f t="shared" si="14"/>
        <v>0</v>
      </c>
      <c r="T113" s="390">
        <f t="shared" si="14"/>
        <v>0</v>
      </c>
      <c r="U113" s="390">
        <f t="shared" si="14"/>
        <v>0</v>
      </c>
      <c r="V113" s="390"/>
      <c r="W113" s="390"/>
      <c r="X113" s="390">
        <f t="shared" si="14"/>
        <v>0</v>
      </c>
      <c r="Y113" s="390"/>
      <c r="Z113" s="390">
        <f t="shared" si="14"/>
        <v>0</v>
      </c>
      <c r="AA113" s="415"/>
      <c r="AB113" s="526"/>
      <c r="AC113" s="389"/>
      <c r="AD113" s="526"/>
      <c r="AE113" s="552"/>
    </row>
    <row r="114" spans="1:31">
      <c r="A114" s="1"/>
      <c r="B114" s="1"/>
      <c r="C114" s="1"/>
      <c r="D114" s="1"/>
      <c r="E114" s="1"/>
      <c r="F114" s="1"/>
      <c r="G114" s="1"/>
      <c r="H114" s="1"/>
      <c r="I114" s="1"/>
      <c r="J114" s="1"/>
      <c r="K114" s="57"/>
      <c r="L114" s="62"/>
      <c r="M114" s="65"/>
      <c r="N114" s="62"/>
      <c r="O114" s="514"/>
      <c r="P114" s="381"/>
      <c r="Q114" s="378"/>
      <c r="R114" s="381"/>
      <c r="S114" s="382">
        <f t="shared" ref="S114:S116" si="15">SUM(P114:R114)</f>
        <v>0</v>
      </c>
      <c r="T114" s="387"/>
      <c r="U114" s="378"/>
      <c r="V114" s="378"/>
      <c r="W114" s="378"/>
      <c r="X114" s="381"/>
      <c r="Y114" s="378"/>
      <c r="Z114" s="382">
        <f t="shared" ref="Z114:Z116" si="16">SUM(T114:Y114)</f>
        <v>0</v>
      </c>
      <c r="AA114" s="385"/>
      <c r="AB114" s="516"/>
      <c r="AC114" s="386"/>
      <c r="AD114" s="519"/>
      <c r="AE114" s="544"/>
    </row>
    <row r="115" spans="1:31">
      <c r="A115" s="1"/>
      <c r="B115" s="1"/>
      <c r="C115" s="1"/>
      <c r="D115" s="1"/>
      <c r="E115" s="1"/>
      <c r="F115" s="1"/>
      <c r="G115" s="1"/>
      <c r="H115" s="1"/>
      <c r="I115" s="1"/>
      <c r="J115" s="1"/>
      <c r="K115" s="57"/>
      <c r="L115" s="62"/>
      <c r="M115" s="65"/>
      <c r="N115" s="62"/>
      <c r="O115" s="514"/>
      <c r="P115" s="381"/>
      <c r="Q115" s="378"/>
      <c r="R115" s="416"/>
      <c r="S115" s="382">
        <f t="shared" si="15"/>
        <v>0</v>
      </c>
      <c r="T115" s="381"/>
      <c r="U115" s="378"/>
      <c r="V115" s="378"/>
      <c r="W115" s="378"/>
      <c r="X115" s="381"/>
      <c r="Y115" s="378"/>
      <c r="Z115" s="382">
        <f t="shared" si="16"/>
        <v>0</v>
      </c>
      <c r="AA115" s="378"/>
      <c r="AB115" s="519"/>
      <c r="AC115" s="387"/>
      <c r="AD115" s="519"/>
      <c r="AE115" s="544"/>
    </row>
    <row r="116" spans="1:31">
      <c r="A116" s="1"/>
      <c r="B116" s="1"/>
      <c r="C116" s="1"/>
      <c r="D116" s="1"/>
      <c r="E116" s="1"/>
      <c r="F116" s="1"/>
      <c r="G116" s="1"/>
      <c r="H116" s="1"/>
      <c r="I116" s="1"/>
      <c r="J116" s="1"/>
      <c r="K116" s="57"/>
      <c r="L116" s="62"/>
      <c r="M116" s="65"/>
      <c r="N116" s="62"/>
      <c r="O116" s="514"/>
      <c r="P116" s="381"/>
      <c r="Q116" s="378"/>
      <c r="R116" s="416"/>
      <c r="S116" s="382">
        <f t="shared" si="15"/>
        <v>0</v>
      </c>
      <c r="T116" s="381"/>
      <c r="U116" s="378"/>
      <c r="V116" s="378"/>
      <c r="W116" s="378"/>
      <c r="X116" s="381"/>
      <c r="Y116" s="378"/>
      <c r="Z116" s="382">
        <f t="shared" si="16"/>
        <v>0</v>
      </c>
      <c r="AA116" s="378"/>
      <c r="AB116" s="519"/>
      <c r="AC116" s="378"/>
      <c r="AD116" s="545"/>
      <c r="AE116" s="544"/>
    </row>
    <row r="117" spans="1:31">
      <c r="A117" s="1"/>
      <c r="B117" s="1"/>
      <c r="C117" s="1"/>
      <c r="D117" s="1"/>
      <c r="E117" s="1"/>
      <c r="F117" s="1"/>
      <c r="G117" s="1"/>
      <c r="H117" s="1"/>
      <c r="I117" s="1"/>
      <c r="J117" s="1"/>
      <c r="K117" s="285" t="s">
        <v>511</v>
      </c>
      <c r="L117" s="287"/>
      <c r="M117" s="287"/>
      <c r="N117" s="287"/>
      <c r="O117" s="537"/>
      <c r="P117" s="389">
        <f t="shared" ref="P117:X117" si="17">+SUM(P114:P116)</f>
        <v>0</v>
      </c>
      <c r="Q117" s="389">
        <f t="shared" si="17"/>
        <v>0</v>
      </c>
      <c r="R117" s="389">
        <f t="shared" si="17"/>
        <v>0</v>
      </c>
      <c r="S117" s="389">
        <f t="shared" si="17"/>
        <v>0</v>
      </c>
      <c r="T117" s="389">
        <f t="shared" si="17"/>
        <v>0</v>
      </c>
      <c r="U117" s="415">
        <f t="shared" si="17"/>
        <v>0</v>
      </c>
      <c r="V117" s="415"/>
      <c r="W117" s="415"/>
      <c r="X117" s="390">
        <f t="shared" si="17"/>
        <v>0</v>
      </c>
      <c r="Y117" s="389"/>
      <c r="Z117" s="389">
        <f>+SUM(Z114:Z116)</f>
        <v>0</v>
      </c>
      <c r="AA117" s="412"/>
      <c r="AB117" s="522"/>
      <c r="AC117" s="412"/>
      <c r="AD117" s="553"/>
      <c r="AE117" s="551"/>
    </row>
    <row r="118" spans="1:31">
      <c r="A118" s="1"/>
      <c r="B118" s="1"/>
      <c r="C118" s="1"/>
      <c r="D118" s="1"/>
      <c r="E118" s="1"/>
      <c r="F118" s="1"/>
      <c r="G118" s="1"/>
      <c r="H118" s="1"/>
      <c r="I118" s="1"/>
      <c r="J118" s="1"/>
      <c r="K118" s="75"/>
      <c r="L118" s="72"/>
      <c r="M118" s="65"/>
      <c r="N118" s="72"/>
      <c r="O118" s="530"/>
      <c r="P118" s="393"/>
      <c r="Q118" s="394"/>
      <c r="R118" s="393"/>
      <c r="S118" s="395">
        <f t="shared" ref="S118:S121" si="18">SUM(P118:R118)</f>
        <v>0</v>
      </c>
      <c r="T118" s="393"/>
      <c r="U118" s="394"/>
      <c r="V118" s="394"/>
      <c r="W118" s="394"/>
      <c r="X118" s="393"/>
      <c r="Y118" s="394"/>
      <c r="Z118" s="395">
        <f t="shared" ref="Z118:Z121" si="19">SUM(T118:Y118)</f>
        <v>0</v>
      </c>
      <c r="AA118" s="398"/>
      <c r="AB118" s="520"/>
      <c r="AC118" s="399"/>
      <c r="AD118" s="520"/>
      <c r="AE118" s="547"/>
    </row>
    <row r="119" spans="1:31">
      <c r="A119" s="1"/>
      <c r="B119" s="1"/>
      <c r="C119" s="1"/>
      <c r="D119" s="1"/>
      <c r="E119" s="1"/>
      <c r="F119" s="1"/>
      <c r="G119" s="1"/>
      <c r="H119" s="1"/>
      <c r="I119" s="1"/>
      <c r="J119" s="1"/>
      <c r="K119" s="57"/>
      <c r="L119" s="62"/>
      <c r="M119" s="65"/>
      <c r="N119" s="62"/>
      <c r="O119" s="514"/>
      <c r="P119" s="381"/>
      <c r="Q119" s="381"/>
      <c r="R119" s="416"/>
      <c r="S119" s="382">
        <f t="shared" si="18"/>
        <v>0</v>
      </c>
      <c r="T119" s="381"/>
      <c r="U119" s="383"/>
      <c r="V119" s="383"/>
      <c r="W119" s="383"/>
      <c r="X119" s="381"/>
      <c r="Y119" s="387"/>
      <c r="Z119" s="382">
        <f t="shared" si="19"/>
        <v>0</v>
      </c>
      <c r="AA119" s="378"/>
      <c r="AB119" s="519"/>
      <c r="AC119" s="387"/>
      <c r="AD119" s="519"/>
      <c r="AE119" s="544"/>
    </row>
    <row r="120" spans="1:31">
      <c r="A120" s="1"/>
      <c r="B120" s="1"/>
      <c r="C120" s="1"/>
      <c r="D120" s="1"/>
      <c r="E120" s="1"/>
      <c r="F120" s="1"/>
      <c r="G120" s="1"/>
      <c r="H120" s="1"/>
      <c r="I120" s="1"/>
      <c r="J120" s="1"/>
      <c r="K120" s="57"/>
      <c r="L120" s="62"/>
      <c r="M120" s="65"/>
      <c r="N120" s="62"/>
      <c r="O120" s="514"/>
      <c r="P120" s="381"/>
      <c r="Q120" s="378"/>
      <c r="R120" s="416"/>
      <c r="S120" s="382">
        <f t="shared" si="18"/>
        <v>0</v>
      </c>
      <c r="T120" s="381"/>
      <c r="U120" s="378"/>
      <c r="V120" s="378"/>
      <c r="W120" s="378"/>
      <c r="X120" s="381"/>
      <c r="Y120" s="378"/>
      <c r="Z120" s="382">
        <f t="shared" si="19"/>
        <v>0</v>
      </c>
      <c r="AA120" s="378"/>
      <c r="AB120" s="519"/>
      <c r="AC120" s="387"/>
      <c r="AD120" s="519"/>
      <c r="AE120" s="544"/>
    </row>
    <row r="121" spans="1:31">
      <c r="A121" s="1"/>
      <c r="B121" s="1"/>
      <c r="C121" s="1"/>
      <c r="D121" s="1"/>
      <c r="E121" s="1"/>
      <c r="F121" s="1"/>
      <c r="G121" s="1"/>
      <c r="H121" s="1"/>
      <c r="I121" s="1"/>
      <c r="J121" s="1"/>
      <c r="K121" s="70"/>
      <c r="L121" s="71"/>
      <c r="M121" s="65"/>
      <c r="N121" s="71"/>
      <c r="O121" s="531"/>
      <c r="P121" s="403"/>
      <c r="Q121" s="404"/>
      <c r="R121" s="417"/>
      <c r="S121" s="405">
        <f t="shared" si="18"/>
        <v>0</v>
      </c>
      <c r="T121" s="403"/>
      <c r="U121" s="404"/>
      <c r="V121" s="404"/>
      <c r="W121" s="404"/>
      <c r="X121" s="403"/>
      <c r="Y121" s="404"/>
      <c r="Z121" s="405">
        <f t="shared" si="19"/>
        <v>0</v>
      </c>
      <c r="AA121" s="404"/>
      <c r="AB121" s="525"/>
      <c r="AC121" s="404"/>
      <c r="AD121" s="549"/>
      <c r="AE121" s="550"/>
    </row>
    <row r="122" spans="1:31">
      <c r="A122" s="1"/>
      <c r="B122" s="1"/>
      <c r="C122" s="1"/>
      <c r="D122" s="1"/>
      <c r="E122" s="1"/>
      <c r="F122" s="1"/>
      <c r="G122" s="1"/>
      <c r="H122" s="1"/>
      <c r="I122" s="1"/>
      <c r="J122" s="1"/>
      <c r="K122" s="285" t="s">
        <v>529</v>
      </c>
      <c r="L122" s="287"/>
      <c r="M122" s="287"/>
      <c r="N122" s="287"/>
      <c r="O122" s="537"/>
      <c r="P122" s="389">
        <f t="shared" ref="P122:X122" si="20">+SUM(P118:P121)</f>
        <v>0</v>
      </c>
      <c r="Q122" s="389">
        <f t="shared" si="20"/>
        <v>0</v>
      </c>
      <c r="R122" s="389">
        <f t="shared" si="20"/>
        <v>0</v>
      </c>
      <c r="S122" s="389">
        <f t="shared" si="20"/>
        <v>0</v>
      </c>
      <c r="T122" s="389">
        <f t="shared" si="20"/>
        <v>0</v>
      </c>
      <c r="U122" s="415">
        <f t="shared" si="20"/>
        <v>0</v>
      </c>
      <c r="V122" s="415"/>
      <c r="W122" s="415"/>
      <c r="X122" s="390">
        <f t="shared" si="20"/>
        <v>0</v>
      </c>
      <c r="Y122" s="389"/>
      <c r="Z122" s="389">
        <f>+SUM(Z118:Z121)</f>
        <v>0</v>
      </c>
      <c r="AA122" s="412"/>
      <c r="AB122" s="522"/>
      <c r="AC122" s="412"/>
      <c r="AD122" s="553"/>
      <c r="AE122" s="551"/>
    </row>
    <row r="123" spans="1:31">
      <c r="A123" s="1"/>
      <c r="B123" s="1"/>
      <c r="C123" s="1"/>
      <c r="D123" s="1"/>
      <c r="E123" s="1"/>
      <c r="F123" s="1"/>
      <c r="G123" s="1"/>
      <c r="H123" s="1"/>
      <c r="I123" s="1"/>
      <c r="J123" s="1"/>
      <c r="K123" s="285" t="s">
        <v>530</v>
      </c>
      <c r="L123" s="287"/>
      <c r="M123" s="287"/>
      <c r="N123" s="287"/>
      <c r="O123" s="537"/>
      <c r="P123" s="389">
        <f>+P122+P113+P117</f>
        <v>0</v>
      </c>
      <c r="Q123" s="389">
        <f t="shared" ref="Q123:Z123" si="21">+Q122+Q113+Q117</f>
        <v>0</v>
      </c>
      <c r="R123" s="389">
        <f t="shared" si="21"/>
        <v>0</v>
      </c>
      <c r="S123" s="389">
        <f t="shared" si="21"/>
        <v>0</v>
      </c>
      <c r="T123" s="389">
        <f t="shared" si="21"/>
        <v>0</v>
      </c>
      <c r="U123" s="389">
        <f t="shared" si="21"/>
        <v>0</v>
      </c>
      <c r="V123" s="389"/>
      <c r="W123" s="389"/>
      <c r="X123" s="389">
        <f t="shared" si="21"/>
        <v>0</v>
      </c>
      <c r="Y123" s="389">
        <f t="shared" si="21"/>
        <v>0</v>
      </c>
      <c r="Z123" s="389">
        <f t="shared" si="21"/>
        <v>0</v>
      </c>
      <c r="AA123" s="412"/>
      <c r="AB123" s="522"/>
      <c r="AC123" s="412"/>
      <c r="AD123" s="522"/>
      <c r="AE123" s="551"/>
    </row>
    <row r="124" spans="1:31">
      <c r="A124" s="1"/>
      <c r="B124" s="1"/>
      <c r="C124" s="1"/>
      <c r="D124" s="1"/>
      <c r="E124" s="1"/>
      <c r="F124" s="1"/>
      <c r="G124" s="1"/>
      <c r="H124" s="1"/>
      <c r="I124" s="1"/>
      <c r="J124" s="1"/>
      <c r="K124" s="77" t="s">
        <v>201</v>
      </c>
      <c r="L124" s="76"/>
      <c r="M124" s="76"/>
      <c r="N124" s="76"/>
      <c r="O124" s="538"/>
      <c r="P124" s="413"/>
      <c r="Q124" s="413"/>
      <c r="R124" s="413"/>
      <c r="S124" s="413">
        <f>+S123-C11</f>
        <v>0</v>
      </c>
      <c r="T124" s="413"/>
      <c r="U124" s="413"/>
      <c r="V124" s="413"/>
      <c r="W124" s="413"/>
      <c r="X124" s="413"/>
      <c r="Y124" s="413"/>
      <c r="Z124" s="413">
        <f>+Z123-D11</f>
        <v>0</v>
      </c>
      <c r="AA124" s="413"/>
      <c r="AB124" s="523"/>
      <c r="AC124" s="413"/>
      <c r="AD124" s="523"/>
      <c r="AE124" s="523"/>
    </row>
    <row r="125" spans="1:31">
      <c r="A125" s="1"/>
      <c r="B125" s="1"/>
      <c r="C125" s="1"/>
      <c r="D125" s="1"/>
      <c r="E125" s="1"/>
      <c r="F125" s="1"/>
      <c r="G125" s="1"/>
      <c r="H125" s="1"/>
      <c r="I125" s="1"/>
      <c r="J125" s="1"/>
      <c r="K125" s="188"/>
      <c r="L125" s="188"/>
      <c r="M125" s="188"/>
      <c r="N125" s="188"/>
      <c r="O125" s="539"/>
      <c r="P125" s="315"/>
      <c r="Q125" s="315"/>
      <c r="R125" s="315"/>
      <c r="S125" s="315"/>
      <c r="T125" s="315"/>
      <c r="U125" s="315"/>
      <c r="V125" s="315"/>
      <c r="W125" s="315"/>
      <c r="X125" s="315"/>
      <c r="Y125" s="315"/>
      <c r="Z125" s="315"/>
      <c r="AA125" s="315"/>
      <c r="AB125" s="511"/>
      <c r="AC125" s="315"/>
      <c r="AD125" s="511"/>
      <c r="AE125" s="511"/>
    </row>
    <row r="126" spans="1:31">
      <c r="A126" s="1"/>
      <c r="B126" s="1"/>
      <c r="C126" s="1"/>
      <c r="D126" s="1"/>
      <c r="E126" s="1"/>
      <c r="F126" s="1"/>
      <c r="G126" s="1"/>
      <c r="H126" s="1"/>
      <c r="I126" s="1"/>
      <c r="J126" s="1"/>
      <c r="K126" s="289" t="s">
        <v>531</v>
      </c>
      <c r="L126" s="290"/>
      <c r="M126" s="290"/>
      <c r="N126" s="290"/>
      <c r="O126" s="540"/>
      <c r="P126" s="418">
        <f>+P123+P106+P73+P63</f>
        <v>0</v>
      </c>
      <c r="Q126" s="418">
        <f t="shared" ref="Q126:Z126" si="22">+Q123+Q106+Q73+Q63</f>
        <v>0</v>
      </c>
      <c r="R126" s="418">
        <f t="shared" si="22"/>
        <v>0</v>
      </c>
      <c r="S126" s="418">
        <f t="shared" si="22"/>
        <v>0</v>
      </c>
      <c r="T126" s="418">
        <f t="shared" si="22"/>
        <v>0</v>
      </c>
      <c r="U126" s="418">
        <f t="shared" si="22"/>
        <v>0</v>
      </c>
      <c r="V126" s="418"/>
      <c r="W126" s="418"/>
      <c r="X126" s="418">
        <f t="shared" si="22"/>
        <v>0</v>
      </c>
      <c r="Y126" s="418">
        <f t="shared" si="22"/>
        <v>0</v>
      </c>
      <c r="Z126" s="418">
        <f t="shared" si="22"/>
        <v>0</v>
      </c>
      <c r="AA126" s="418"/>
      <c r="AB126" s="527"/>
      <c r="AC126" s="418"/>
      <c r="AD126" s="527"/>
      <c r="AE126" s="554"/>
    </row>
    <row r="127" spans="1:31">
      <c r="A127" s="1"/>
      <c r="B127" s="1"/>
      <c r="C127" s="1"/>
      <c r="D127" s="1"/>
      <c r="E127" s="1"/>
      <c r="F127" s="1"/>
      <c r="G127" s="1"/>
      <c r="H127" s="1"/>
      <c r="I127" s="1"/>
      <c r="J127" s="1"/>
      <c r="K127" s="188"/>
      <c r="L127" s="188"/>
      <c r="M127" s="188"/>
      <c r="N127" s="188"/>
      <c r="O127" s="539"/>
      <c r="P127" s="315"/>
      <c r="Q127" s="315"/>
      <c r="R127" s="315"/>
      <c r="S127" s="315">
        <f>+S126-C14</f>
        <v>0</v>
      </c>
      <c r="T127" s="315"/>
      <c r="U127" s="315"/>
      <c r="V127" s="315"/>
      <c r="W127" s="315"/>
      <c r="X127" s="315"/>
      <c r="Y127" s="315"/>
      <c r="Z127" s="315">
        <f>+Z126-D14</f>
        <v>0</v>
      </c>
      <c r="AA127" s="315"/>
      <c r="AB127" s="511"/>
      <c r="AC127" s="315"/>
      <c r="AD127" s="511"/>
      <c r="AE127" s="511"/>
    </row>
    <row r="128" spans="1:31">
      <c r="A128" s="1"/>
      <c r="B128" s="1"/>
      <c r="C128" s="1"/>
      <c r="D128" s="1"/>
      <c r="E128" s="1"/>
      <c r="F128" s="1"/>
      <c r="G128" s="1"/>
      <c r="H128" s="1"/>
      <c r="I128" s="1"/>
      <c r="J128" s="1"/>
      <c r="K128" s="188"/>
      <c r="L128" s="188"/>
      <c r="M128" s="188"/>
      <c r="N128" s="188"/>
      <c r="O128" s="539"/>
      <c r="P128" s="315"/>
      <c r="Q128" s="315"/>
      <c r="R128" s="315"/>
      <c r="S128" s="315"/>
      <c r="T128" s="315"/>
      <c r="U128" s="315"/>
      <c r="V128" s="315"/>
      <c r="W128" s="315"/>
      <c r="X128" s="315"/>
      <c r="Y128" s="315"/>
      <c r="Z128" s="315"/>
      <c r="AA128" s="315"/>
      <c r="AB128" s="511"/>
      <c r="AC128" s="315"/>
      <c r="AD128" s="511"/>
      <c r="AE128" s="511"/>
    </row>
  </sheetData>
  <sheetProtection algorithmName="SHA-512" hashValue="mMWqL/fzJEPEbork95DZ2ihG+nO4fEkW2l6zH1MActmj0Wlgirh46WH8O24lwusAoi0sEK78avsALywoTsUFYw==" saltValue="tcYdcSeeqGtgsVfDMN0LHA==" spinCount="100000" sheet="1" objects="1" scenarios="1"/>
  <mergeCells count="6">
    <mergeCell ref="P3:Z3"/>
    <mergeCell ref="C4:D4"/>
    <mergeCell ref="E4:F4"/>
    <mergeCell ref="P4:Z4"/>
    <mergeCell ref="AD5:AE5"/>
    <mergeCell ref="G4:H4"/>
  </mergeCells>
  <dataValidations count="4">
    <dataValidation type="whole" showInputMessage="1" showErrorMessage="1" sqref="AC7:AC123" xr:uid="{00000000-0002-0000-2600-000000000000}">
      <formula1>-9.99999999999999E+22</formula1>
      <formula2>9.99999999999999E+24</formula2>
    </dataValidation>
    <dataValidation type="whole" showInputMessage="1" showErrorMessage="1" sqref="Z7:Z113 S7:Y72 S114:Z122 S74:Y113 O73:Y73" xr:uid="{00000000-0002-0000-2600-000001000000}">
      <formula1>-9.99999999999999E+22</formula1>
      <formula2>9.99999999999999E+21</formula2>
    </dataValidation>
    <dataValidation type="whole" showInputMessage="1" showErrorMessage="1" sqref="P7:R72 Q123:Z123 P115:P123 Q115:R122 P74:R114" xr:uid="{00000000-0002-0000-2600-000002000000}">
      <formula1>-999999999999999000000</formula1>
      <formula2>9.99999999999999E+22</formula2>
    </dataValidation>
    <dataValidation type="list" allowBlank="1" showInputMessage="1" showErrorMessage="1" sqref="M7:M62 M118:M121 M114:M116 M109:M112 M78:M105 M66:M72" xr:uid="{00000000-0002-0000-2600-000003000000}">
      <formula1>$B$22:$B$24</formula1>
    </dataValidation>
  </dataValidations>
  <hyperlinks>
    <hyperlink ref="D1" location="'Est Situacion'!A1" display="Volver" xr:uid="{00000000-0004-0000-2600-000000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M59"/>
  <sheetViews>
    <sheetView showGridLines="0" workbookViewId="0">
      <selection activeCell="J29" sqref="J29"/>
    </sheetView>
  </sheetViews>
  <sheetFormatPr baseColWidth="10" defaultRowHeight="14.25"/>
  <cols>
    <col min="2" max="2" width="38.19921875" customWidth="1"/>
    <col min="10" max="10" width="42" bestFit="1" customWidth="1"/>
    <col min="11" max="11" width="11.46484375" bestFit="1" customWidth="1"/>
  </cols>
  <sheetData>
    <row r="1" spans="1:13">
      <c r="A1" s="33" t="s">
        <v>345</v>
      </c>
      <c r="B1" s="1"/>
      <c r="C1" s="1"/>
      <c r="D1" s="1"/>
      <c r="E1" s="56" t="s">
        <v>417</v>
      </c>
      <c r="F1" s="1"/>
      <c r="G1" s="56" t="s">
        <v>417</v>
      </c>
      <c r="H1" s="1"/>
    </row>
    <row r="2" spans="1:13">
      <c r="A2" s="1"/>
      <c r="B2" s="1"/>
      <c r="C2" s="1"/>
      <c r="D2" s="1"/>
      <c r="E2" s="1"/>
      <c r="F2" s="1"/>
      <c r="G2" s="1"/>
      <c r="H2" s="1"/>
    </row>
    <row r="3" spans="1:13">
      <c r="A3" s="1" t="s">
        <v>347</v>
      </c>
      <c r="B3" s="1"/>
      <c r="C3" s="1"/>
      <c r="D3" s="1"/>
      <c r="E3" s="1"/>
      <c r="F3" s="1"/>
      <c r="G3" s="1"/>
      <c r="H3" s="1"/>
    </row>
    <row r="4" spans="1:13">
      <c r="A4" s="1"/>
      <c r="B4" s="1"/>
      <c r="C4" s="1"/>
      <c r="D4" s="1"/>
      <c r="E4" s="1"/>
      <c r="F4" s="1"/>
      <c r="G4" s="1"/>
      <c r="H4" s="1"/>
    </row>
    <row r="5" spans="1:13">
      <c r="A5" s="1"/>
      <c r="B5" s="2322" t="s">
        <v>49</v>
      </c>
      <c r="C5" s="2334" t="s">
        <v>319</v>
      </c>
      <c r="D5" s="2336"/>
      <c r="E5" s="2334" t="s">
        <v>199</v>
      </c>
      <c r="F5" s="2336"/>
      <c r="G5" s="2334" t="s">
        <v>199</v>
      </c>
      <c r="H5" s="2336"/>
    </row>
    <row r="6" spans="1:13">
      <c r="A6" s="1"/>
      <c r="B6" s="2353"/>
      <c r="C6" s="1267" t="s">
        <v>491</v>
      </c>
      <c r="D6" s="1287" t="s">
        <v>492</v>
      </c>
      <c r="E6" s="1267" t="s">
        <v>491</v>
      </c>
      <c r="F6" s="1287" t="s">
        <v>492</v>
      </c>
      <c r="G6" s="1267" t="s">
        <v>491</v>
      </c>
      <c r="H6" s="1287" t="s">
        <v>492</v>
      </c>
    </row>
    <row r="7" spans="1:13" ht="14.65" thickBot="1">
      <c r="A7" s="1"/>
      <c r="B7" s="2353"/>
      <c r="C7" s="1288">
        <f>+Datos!D6</f>
        <v>45657</v>
      </c>
      <c r="D7" s="1289">
        <f>+Datos!D6</f>
        <v>45657</v>
      </c>
      <c r="E7" s="1288">
        <f>+Datos!E6</f>
        <v>45291</v>
      </c>
      <c r="F7" s="1289">
        <f>+Datos!E6</f>
        <v>45291</v>
      </c>
      <c r="G7" s="1288">
        <f>+Datos!F6</f>
        <v>44927</v>
      </c>
      <c r="H7" s="1289">
        <f>+G7</f>
        <v>44927</v>
      </c>
    </row>
    <row r="8" spans="1:13" ht="14.65" thickBot="1">
      <c r="A8" s="1"/>
      <c r="B8" s="2354"/>
      <c r="C8" s="1270" t="s">
        <v>20</v>
      </c>
      <c r="D8" s="1277" t="s">
        <v>20</v>
      </c>
      <c r="E8" s="1270" t="s">
        <v>20</v>
      </c>
      <c r="F8" s="1277" t="s">
        <v>20</v>
      </c>
      <c r="G8" s="1270" t="s">
        <v>20</v>
      </c>
      <c r="H8" s="1277" t="s">
        <v>20</v>
      </c>
      <c r="J8" s="583"/>
      <c r="K8" s="618"/>
      <c r="L8" s="618"/>
      <c r="M8" s="617"/>
    </row>
    <row r="9" spans="1:13">
      <c r="A9" s="1"/>
      <c r="B9" s="51" t="s">
        <v>370</v>
      </c>
      <c r="C9" s="1046"/>
      <c r="D9" s="320"/>
      <c r="E9" s="1046"/>
      <c r="F9" s="320"/>
      <c r="G9" s="1046"/>
      <c r="H9" s="320"/>
      <c r="J9" s="604"/>
      <c r="K9" s="625"/>
      <c r="L9" s="625"/>
      <c r="M9" s="621"/>
    </row>
    <row r="10" spans="1:13">
      <c r="A10" s="1"/>
      <c r="B10" s="51" t="s">
        <v>867</v>
      </c>
      <c r="C10" s="1046"/>
      <c r="D10" s="320"/>
      <c r="E10" s="1046"/>
      <c r="F10" s="320"/>
      <c r="G10" s="1046"/>
      <c r="H10" s="320"/>
      <c r="J10" s="604"/>
      <c r="K10" s="625"/>
      <c r="L10" s="625"/>
      <c r="M10" s="621"/>
    </row>
    <row r="11" spans="1:13">
      <c r="A11" s="1"/>
      <c r="B11" s="51" t="s">
        <v>868</v>
      </c>
      <c r="C11" s="1046"/>
      <c r="D11" s="320"/>
      <c r="E11" s="1046"/>
      <c r="F11" s="320"/>
      <c r="G11" s="1046"/>
      <c r="H11" s="320"/>
      <c r="J11" s="604"/>
      <c r="K11" s="625"/>
      <c r="L11" s="625"/>
      <c r="M11" s="621"/>
    </row>
    <row r="12" spans="1:13">
      <c r="A12" s="1"/>
      <c r="B12" s="51" t="s">
        <v>869</v>
      </c>
      <c r="C12" s="1046"/>
      <c r="D12" s="320"/>
      <c r="E12" s="1046"/>
      <c r="F12" s="320"/>
      <c r="G12" s="1046"/>
      <c r="H12" s="320"/>
      <c r="J12" s="622"/>
      <c r="K12" s="625"/>
      <c r="L12" s="625"/>
      <c r="M12" s="621"/>
    </row>
    <row r="13" spans="1:13">
      <c r="A13" s="1"/>
      <c r="B13" s="51"/>
      <c r="C13" s="319"/>
      <c r="D13" s="320"/>
      <c r="E13" s="319"/>
      <c r="F13" s="320"/>
      <c r="G13" s="319"/>
      <c r="H13" s="320"/>
      <c r="J13" s="604"/>
      <c r="K13" s="625"/>
      <c r="L13" s="625"/>
      <c r="M13" s="621"/>
    </row>
    <row r="14" spans="1:13">
      <c r="A14" s="1"/>
      <c r="B14" s="51"/>
      <c r="C14" s="319"/>
      <c r="D14" s="320"/>
      <c r="E14" s="319"/>
      <c r="F14" s="320"/>
      <c r="G14" s="319"/>
      <c r="H14" s="320"/>
      <c r="J14" s="604"/>
      <c r="K14" s="625"/>
      <c r="L14" s="625"/>
      <c r="M14" s="605"/>
    </row>
    <row r="15" spans="1:13">
      <c r="A15" s="1"/>
      <c r="B15" s="254" t="s">
        <v>103</v>
      </c>
      <c r="C15" s="319"/>
      <c r="D15" s="320"/>
      <c r="E15" s="319"/>
      <c r="F15" s="320"/>
      <c r="G15" s="319"/>
      <c r="H15" s="320"/>
      <c r="J15" s="604"/>
      <c r="K15" s="625"/>
      <c r="L15" s="625"/>
      <c r="M15" s="605"/>
    </row>
    <row r="16" spans="1:13">
      <c r="A16" s="1"/>
      <c r="B16" s="1242" t="s">
        <v>189</v>
      </c>
      <c r="C16" s="1387">
        <f t="shared" ref="C16:H16" si="0">+SUM(C9:C15)</f>
        <v>0</v>
      </c>
      <c r="D16" s="1245">
        <f t="shared" si="0"/>
        <v>0</v>
      </c>
      <c r="E16" s="1387">
        <f t="shared" si="0"/>
        <v>0</v>
      </c>
      <c r="F16" s="1245">
        <f t="shared" si="0"/>
        <v>0</v>
      </c>
      <c r="G16" s="1387">
        <f t="shared" si="0"/>
        <v>0</v>
      </c>
      <c r="H16" s="1245">
        <f t="shared" si="0"/>
        <v>0</v>
      </c>
      <c r="J16" s="604"/>
      <c r="K16" s="625"/>
      <c r="L16" s="625"/>
      <c r="M16" s="605"/>
    </row>
    <row r="17" spans="1:13">
      <c r="A17" s="1"/>
      <c r="B17" s="1"/>
      <c r="C17" s="315"/>
      <c r="D17" s="315"/>
      <c r="E17" s="315"/>
      <c r="F17" s="315"/>
      <c r="G17" s="315"/>
      <c r="H17" s="315"/>
      <c r="J17" s="604"/>
      <c r="K17" s="625"/>
      <c r="L17" s="625"/>
      <c r="M17" s="605"/>
    </row>
    <row r="18" spans="1:13">
      <c r="A18" s="1"/>
      <c r="B18" s="1"/>
      <c r="C18" s="315"/>
      <c r="D18" s="315"/>
      <c r="E18" s="315"/>
      <c r="F18" s="315"/>
      <c r="G18" s="315"/>
      <c r="H18" s="315"/>
      <c r="J18" s="622"/>
      <c r="K18" s="625"/>
      <c r="L18" s="625"/>
      <c r="M18" s="621"/>
    </row>
    <row r="19" spans="1:13" ht="14.65" thickBot="1">
      <c r="A19" s="1"/>
      <c r="B19" s="41" t="s">
        <v>201</v>
      </c>
      <c r="C19" s="419">
        <f>+C16-'Est Situacion'!G47</f>
        <v>0</v>
      </c>
      <c r="D19" s="419">
        <f>+D16-'Est Situacion'!G63</f>
        <v>0</v>
      </c>
      <c r="E19" s="419">
        <f>+E16-'Est Situacion'!H47</f>
        <v>0</v>
      </c>
      <c r="F19" s="419">
        <f>+F16-'Est Situacion'!H63</f>
        <v>0</v>
      </c>
      <c r="G19" s="419">
        <f>+G16-'Est Situacion'!I47</f>
        <v>0</v>
      </c>
      <c r="H19" s="419">
        <f>+H16-'Est Situacion'!J63</f>
        <v>0</v>
      </c>
      <c r="J19" s="582"/>
      <c r="K19" s="625"/>
      <c r="L19" s="625"/>
      <c r="M19" s="620"/>
    </row>
    <row r="20" spans="1:13" ht="14.65" thickBot="1">
      <c r="A20" s="1"/>
      <c r="B20" s="1"/>
      <c r="C20" s="1"/>
      <c r="D20" s="1"/>
      <c r="E20" s="1"/>
      <c r="F20" s="1"/>
      <c r="G20" s="1"/>
      <c r="H20" s="1"/>
      <c r="J20" s="579"/>
      <c r="K20" s="580">
        <f>SUM(K9:K19)</f>
        <v>0</v>
      </c>
      <c r="L20" s="580">
        <f>SUM(L9:L19)</f>
        <v>0</v>
      </c>
      <c r="M20" s="607">
        <f>SUM(M9:M19)</f>
        <v>0</v>
      </c>
    </row>
    <row r="21" spans="1:13">
      <c r="A21" s="1"/>
      <c r="B21" s="1"/>
      <c r="C21" s="1"/>
      <c r="D21" s="1"/>
      <c r="E21" s="1"/>
      <c r="F21" s="1"/>
      <c r="G21" s="1"/>
      <c r="H21" s="1"/>
    </row>
    <row r="22" spans="1:13">
      <c r="A22" s="1"/>
      <c r="B22" s="1"/>
      <c r="C22" s="1"/>
      <c r="D22" s="1"/>
      <c r="E22" s="1"/>
      <c r="F22" s="1"/>
      <c r="G22" s="1"/>
      <c r="H22" s="1"/>
    </row>
    <row r="23" spans="1:13">
      <c r="A23" s="1"/>
      <c r="B23" s="1"/>
      <c r="C23" s="1"/>
      <c r="D23" s="1"/>
      <c r="E23" s="1"/>
      <c r="F23" s="1"/>
      <c r="G23" s="1"/>
      <c r="H23" s="1"/>
    </row>
    <row r="24" spans="1:13">
      <c r="A24" s="1" t="s">
        <v>346</v>
      </c>
      <c r="B24" s="1"/>
      <c r="C24" s="1"/>
      <c r="D24" s="1"/>
      <c r="E24" s="1"/>
      <c r="F24" s="1"/>
      <c r="G24" s="1"/>
      <c r="H24" s="1"/>
    </row>
    <row r="25" spans="1:13">
      <c r="A25" s="1"/>
      <c r="B25" s="1295"/>
      <c r="C25" s="1219" t="s">
        <v>352</v>
      </c>
      <c r="D25" s="1219" t="s">
        <v>353</v>
      </c>
      <c r="E25" s="1219" t="s">
        <v>354</v>
      </c>
      <c r="F25" s="1308" t="s">
        <v>109</v>
      </c>
      <c r="G25" s="1219" t="s">
        <v>354</v>
      </c>
      <c r="H25" s="1308" t="s">
        <v>109</v>
      </c>
    </row>
    <row r="26" spans="1:13">
      <c r="A26" s="1"/>
      <c r="B26" s="1276"/>
      <c r="C26" s="1221" t="s">
        <v>20</v>
      </c>
      <c r="D26" s="1221" t="s">
        <v>20</v>
      </c>
      <c r="E26" s="1221" t="s">
        <v>20</v>
      </c>
      <c r="F26" s="1277" t="s">
        <v>20</v>
      </c>
      <c r="G26" s="1221" t="s">
        <v>20</v>
      </c>
      <c r="H26" s="1277" t="s">
        <v>20</v>
      </c>
    </row>
    <row r="27" spans="1:13">
      <c r="A27" s="1"/>
      <c r="B27" s="1" t="s">
        <v>348</v>
      </c>
      <c r="C27" s="1"/>
      <c r="D27" s="1"/>
      <c r="E27" s="1"/>
      <c r="F27" s="1">
        <f>+SUM(C27:E27)</f>
        <v>0</v>
      </c>
      <c r="G27" s="1"/>
      <c r="H27" s="1">
        <f>+SUM(E27:G27)</f>
        <v>0</v>
      </c>
    </row>
    <row r="28" spans="1:13">
      <c r="A28" s="1"/>
      <c r="B28" s="1" t="s">
        <v>349</v>
      </c>
      <c r="C28" s="1"/>
      <c r="D28" s="1"/>
      <c r="E28" s="1"/>
      <c r="F28" s="1">
        <f t="shared" ref="F28:F30" si="1">+SUM(C28:E28)</f>
        <v>0</v>
      </c>
      <c r="G28" s="1"/>
      <c r="H28" s="1">
        <f t="shared" ref="H28:H30" si="2">+SUM(E28:G28)</f>
        <v>0</v>
      </c>
    </row>
    <row r="29" spans="1:13">
      <c r="A29" s="1"/>
      <c r="B29" s="1" t="s">
        <v>350</v>
      </c>
      <c r="C29" s="1"/>
      <c r="D29" s="1"/>
      <c r="E29" s="1"/>
      <c r="F29" s="1">
        <f t="shared" si="1"/>
        <v>0</v>
      </c>
      <c r="G29" s="1"/>
      <c r="H29" s="1">
        <f t="shared" si="2"/>
        <v>0</v>
      </c>
    </row>
    <row r="30" spans="1:13">
      <c r="A30" s="1"/>
      <c r="B30" s="1" t="s">
        <v>351</v>
      </c>
      <c r="C30" s="1"/>
      <c r="D30" s="1"/>
      <c r="E30" s="1"/>
      <c r="F30" s="1">
        <f t="shared" si="1"/>
        <v>0</v>
      </c>
      <c r="G30" s="1"/>
      <c r="H30" s="1">
        <f t="shared" si="2"/>
        <v>0</v>
      </c>
    </row>
    <row r="31" spans="1:13">
      <c r="A31" s="1"/>
      <c r="B31" s="11"/>
      <c r="C31" s="12"/>
      <c r="D31" s="12"/>
      <c r="E31" s="12"/>
      <c r="F31" s="253"/>
      <c r="G31" s="12"/>
      <c r="H31" s="253"/>
    </row>
    <row r="32" spans="1:13">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t="s">
        <v>355</v>
      </c>
      <c r="B35" s="1"/>
      <c r="C35" s="1"/>
      <c r="D35" s="1"/>
      <c r="E35" s="1"/>
      <c r="F35" s="1"/>
      <c r="G35" s="1"/>
      <c r="H35" s="1"/>
    </row>
    <row r="36" spans="1:8">
      <c r="A36" s="1"/>
      <c r="B36" s="1295"/>
      <c r="C36" s="1219" t="s">
        <v>352</v>
      </c>
      <c r="D36" s="1219" t="s">
        <v>353</v>
      </c>
      <c r="E36" s="1219" t="s">
        <v>354</v>
      </c>
      <c r="F36" s="1308" t="s">
        <v>109</v>
      </c>
      <c r="G36" s="1219" t="s">
        <v>354</v>
      </c>
      <c r="H36" s="1308" t="s">
        <v>109</v>
      </c>
    </row>
    <row r="37" spans="1:8">
      <c r="A37" s="1"/>
      <c r="B37" s="1276"/>
      <c r="C37" s="1221" t="s">
        <v>20</v>
      </c>
      <c r="D37" s="1221" t="s">
        <v>20</v>
      </c>
      <c r="E37" s="1221" t="s">
        <v>20</v>
      </c>
      <c r="F37" s="1277" t="s">
        <v>20</v>
      </c>
      <c r="G37" s="1221" t="s">
        <v>20</v>
      </c>
      <c r="H37" s="1277" t="s">
        <v>20</v>
      </c>
    </row>
    <row r="38" spans="1:8">
      <c r="A38" s="1"/>
      <c r="B38" s="1" t="s">
        <v>348</v>
      </c>
      <c r="C38" s="1"/>
      <c r="D38" s="1"/>
      <c r="E38" s="1"/>
      <c r="F38" s="1">
        <f>+SUM(C38:E38)</f>
        <v>0</v>
      </c>
      <c r="G38" s="1"/>
      <c r="H38" s="1">
        <f>+SUM(E38:G38)</f>
        <v>0</v>
      </c>
    </row>
    <row r="39" spans="1:8">
      <c r="A39" s="1"/>
      <c r="B39" s="1" t="s">
        <v>349</v>
      </c>
      <c r="C39" s="1"/>
      <c r="D39" s="1"/>
      <c r="E39" s="1"/>
      <c r="F39" s="1">
        <f t="shared" ref="F39:F41" si="3">+SUM(C39:E39)</f>
        <v>0</v>
      </c>
      <c r="G39" s="1"/>
      <c r="H39" s="1">
        <f t="shared" ref="H39:H41" si="4">+SUM(E39:G39)</f>
        <v>0</v>
      </c>
    </row>
    <row r="40" spans="1:8">
      <c r="A40" s="1"/>
      <c r="B40" s="1" t="s">
        <v>350</v>
      </c>
      <c r="C40" s="1"/>
      <c r="D40" s="1"/>
      <c r="E40" s="1"/>
      <c r="F40" s="1">
        <f t="shared" si="3"/>
        <v>0</v>
      </c>
      <c r="G40" s="1"/>
      <c r="H40" s="1">
        <f t="shared" si="4"/>
        <v>0</v>
      </c>
    </row>
    <row r="41" spans="1:8">
      <c r="A41" s="1"/>
      <c r="B41" s="1" t="s">
        <v>351</v>
      </c>
      <c r="C41" s="1"/>
      <c r="D41" s="1"/>
      <c r="E41" s="1"/>
      <c r="F41" s="1">
        <f t="shared" si="3"/>
        <v>0</v>
      </c>
      <c r="G41" s="1"/>
      <c r="H41" s="1">
        <f t="shared" si="4"/>
        <v>0</v>
      </c>
    </row>
    <row r="42" spans="1:8">
      <c r="A42" s="1"/>
      <c r="B42" s="11"/>
      <c r="C42" s="12"/>
      <c r="D42" s="12"/>
      <c r="E42" s="12"/>
      <c r="F42" s="253"/>
      <c r="G42" s="12"/>
      <c r="H42" s="253"/>
    </row>
    <row r="43" spans="1:8">
      <c r="A43" s="1"/>
      <c r="B43" s="1"/>
      <c r="C43" s="1"/>
      <c r="D43" s="1"/>
      <c r="E43" s="1"/>
      <c r="F43" s="1"/>
      <c r="G43" s="1"/>
      <c r="H43" s="1"/>
    </row>
    <row r="44" spans="1:8">
      <c r="A44" s="1"/>
      <c r="B44" s="1"/>
      <c r="C44" s="1"/>
      <c r="D44" s="1"/>
      <c r="E44" s="1"/>
      <c r="F44" s="1"/>
      <c r="G44" s="1"/>
      <c r="H44" s="1"/>
    </row>
    <row r="45" spans="1:8">
      <c r="A45" s="1" t="s">
        <v>356</v>
      </c>
      <c r="B45" s="1"/>
      <c r="C45" s="1"/>
      <c r="D45" s="1"/>
      <c r="E45" s="1"/>
      <c r="F45" s="1"/>
      <c r="G45" s="1"/>
      <c r="H45" s="1"/>
    </row>
    <row r="46" spans="1:8">
      <c r="A46" s="1"/>
      <c r="B46" s="1295"/>
      <c r="C46" s="1219" t="s">
        <v>352</v>
      </c>
      <c r="D46" s="1219" t="s">
        <v>353</v>
      </c>
      <c r="E46" s="1219" t="s">
        <v>354</v>
      </c>
      <c r="F46" s="1308" t="s">
        <v>109</v>
      </c>
      <c r="G46" s="1219" t="s">
        <v>354</v>
      </c>
      <c r="H46" s="1308" t="s">
        <v>109</v>
      </c>
    </row>
    <row r="47" spans="1:8">
      <c r="A47" s="1"/>
      <c r="B47" s="1276"/>
      <c r="C47" s="1221" t="s">
        <v>20</v>
      </c>
      <c r="D47" s="1221" t="s">
        <v>20</v>
      </c>
      <c r="E47" s="1221" t="s">
        <v>20</v>
      </c>
      <c r="F47" s="1277" t="s">
        <v>20</v>
      </c>
      <c r="G47" s="1221" t="s">
        <v>20</v>
      </c>
      <c r="H47" s="1277" t="s">
        <v>20</v>
      </c>
    </row>
    <row r="48" spans="1:8">
      <c r="A48" s="1"/>
      <c r="B48" s="1" t="s">
        <v>348</v>
      </c>
      <c r="C48" s="1"/>
      <c r="D48" s="1"/>
      <c r="E48" s="1"/>
      <c r="F48" s="1">
        <f>+SUM(C48:E48)</f>
        <v>0</v>
      </c>
      <c r="G48" s="1"/>
      <c r="H48" s="1">
        <f>+SUM(E48:G48)</f>
        <v>0</v>
      </c>
    </row>
    <row r="49" spans="1:8">
      <c r="A49" s="1"/>
      <c r="B49" s="1" t="s">
        <v>349</v>
      </c>
      <c r="C49" s="1"/>
      <c r="D49" s="1"/>
      <c r="E49" s="1"/>
      <c r="F49" s="1">
        <f t="shared" ref="F49:F51" si="5">+SUM(C49:E49)</f>
        <v>0</v>
      </c>
      <c r="G49" s="1"/>
      <c r="H49" s="1">
        <f t="shared" ref="H49:H51" si="6">+SUM(E49:G49)</f>
        <v>0</v>
      </c>
    </row>
    <row r="50" spans="1:8">
      <c r="A50" s="1"/>
      <c r="B50" s="1" t="s">
        <v>350</v>
      </c>
      <c r="C50" s="1"/>
      <c r="D50" s="1"/>
      <c r="E50" s="1"/>
      <c r="F50" s="1">
        <f t="shared" si="5"/>
        <v>0</v>
      </c>
      <c r="G50" s="1"/>
      <c r="H50" s="1">
        <f t="shared" si="6"/>
        <v>0</v>
      </c>
    </row>
    <row r="51" spans="1:8">
      <c r="A51" s="1"/>
      <c r="B51" s="1" t="s">
        <v>351</v>
      </c>
      <c r="C51" s="1"/>
      <c r="D51" s="1"/>
      <c r="E51" s="1"/>
      <c r="F51" s="1">
        <f t="shared" si="5"/>
        <v>0</v>
      </c>
      <c r="G51" s="1"/>
      <c r="H51" s="1">
        <f t="shared" si="6"/>
        <v>0</v>
      </c>
    </row>
    <row r="52" spans="1:8">
      <c r="A52" s="1"/>
      <c r="B52" s="11"/>
      <c r="C52" s="12"/>
      <c r="D52" s="12"/>
      <c r="E52" s="12"/>
      <c r="F52" s="253"/>
      <c r="G52" s="12"/>
      <c r="H52" s="253"/>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sheetData>
  <sheetProtection algorithmName="SHA-512" hashValue="qttx68UKJY16iXAfLWgYPRyFKwtgSGCCw8Ch6A7ekqaT3qRiYxEdQud5ZoN4suJUA8ergwF6ZRD2B0yZyOpsEg==" saltValue="5Dzo/L+ZehRoL80ZEUGHQA==" spinCount="100000" sheet="1" objects="1" scenarios="1"/>
  <mergeCells count="4">
    <mergeCell ref="B5:B8"/>
    <mergeCell ref="C5:D5"/>
    <mergeCell ref="E5:F5"/>
    <mergeCell ref="G5:H5"/>
  </mergeCells>
  <hyperlinks>
    <hyperlink ref="E1" location="'Est Situacion'!A1" display="Volver" xr:uid="{00000000-0004-0000-2900-000000000000}"/>
    <hyperlink ref="G1" location="'Est Situacion'!A1" display="Volver" xr:uid="{3F13D0F1-8F9E-42A1-A5EC-5A04C113BAEE}"/>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J74"/>
  <sheetViews>
    <sheetView showGridLines="0" topLeftCell="A34" workbookViewId="0">
      <selection activeCell="H1" sqref="H1"/>
    </sheetView>
  </sheetViews>
  <sheetFormatPr baseColWidth="10" defaultRowHeight="14.25"/>
  <cols>
    <col min="2" max="2" width="29.19921875" customWidth="1"/>
  </cols>
  <sheetData>
    <row r="1" spans="1:10">
      <c r="A1" t="s">
        <v>357</v>
      </c>
      <c r="B1" s="1"/>
      <c r="C1" s="1"/>
      <c r="D1" s="1"/>
      <c r="E1" s="1"/>
      <c r="F1" s="56" t="s">
        <v>417</v>
      </c>
      <c r="G1" s="1"/>
      <c r="H1" s="1"/>
      <c r="I1" s="1"/>
      <c r="J1" s="1"/>
    </row>
    <row r="2" spans="1:10">
      <c r="A2" s="1"/>
      <c r="B2" s="1"/>
      <c r="C2" s="1"/>
      <c r="D2" s="1"/>
      <c r="E2" s="1"/>
      <c r="F2" s="1"/>
      <c r="G2" s="1"/>
      <c r="H2" s="1"/>
      <c r="I2" s="1"/>
      <c r="J2" s="1"/>
    </row>
    <row r="3" spans="1:10">
      <c r="A3" s="1" t="s">
        <v>193</v>
      </c>
      <c r="B3" s="1"/>
      <c r="C3" s="1"/>
      <c r="D3" s="1"/>
      <c r="E3" s="1"/>
      <c r="F3" s="1"/>
      <c r="G3" s="1"/>
      <c r="H3" s="1"/>
      <c r="I3" s="101" t="s">
        <v>619</v>
      </c>
      <c r="J3" s="1"/>
    </row>
    <row r="4" spans="1:10" ht="39.4">
      <c r="A4" s="243">
        <f>+Datos!D6</f>
        <v>45657</v>
      </c>
      <c r="B4" s="38"/>
      <c r="C4" s="40" t="s">
        <v>363</v>
      </c>
      <c r="D4" s="40" t="s">
        <v>364</v>
      </c>
      <c r="E4" s="40" t="s">
        <v>365</v>
      </c>
      <c r="F4" s="40" t="s">
        <v>366</v>
      </c>
      <c r="G4" s="455" t="s">
        <v>109</v>
      </c>
      <c r="H4" s="255"/>
      <c r="I4" s="255"/>
      <c r="J4" s="1"/>
    </row>
    <row r="5" spans="1:10">
      <c r="A5" s="33"/>
      <c r="B5" s="4"/>
      <c r="C5" s="256" t="s">
        <v>20</v>
      </c>
      <c r="D5" s="256" t="s">
        <v>20</v>
      </c>
      <c r="E5" s="256" t="s">
        <v>20</v>
      </c>
      <c r="F5" s="256" t="s">
        <v>20</v>
      </c>
      <c r="G5" s="257" t="s">
        <v>20</v>
      </c>
      <c r="H5" s="255"/>
      <c r="I5" s="255"/>
      <c r="J5" s="1"/>
    </row>
    <row r="6" spans="1:10">
      <c r="A6" s="33"/>
      <c r="B6" s="2" t="s">
        <v>359</v>
      </c>
      <c r="C6" s="1"/>
      <c r="D6" s="1"/>
      <c r="E6" s="1"/>
      <c r="F6" s="1"/>
      <c r="G6" s="1"/>
      <c r="H6" s="1"/>
      <c r="I6" s="1"/>
      <c r="J6" s="1"/>
    </row>
    <row r="7" spans="1:10">
      <c r="A7" s="33"/>
      <c r="B7" s="1" t="s">
        <v>151</v>
      </c>
      <c r="C7" s="1"/>
      <c r="D7" s="1"/>
      <c r="E7" s="1"/>
      <c r="F7" s="1"/>
      <c r="G7" s="1">
        <f>+SUM(C7:F7)</f>
        <v>0</v>
      </c>
      <c r="H7" s="1"/>
      <c r="I7" s="1"/>
      <c r="J7" s="1"/>
    </row>
    <row r="8" spans="1:10">
      <c r="A8" s="33"/>
      <c r="B8" s="1" t="s">
        <v>152</v>
      </c>
      <c r="C8" s="1"/>
      <c r="D8" s="1"/>
      <c r="E8" s="1"/>
      <c r="F8" s="1"/>
      <c r="G8" s="1">
        <f t="shared" ref="G8:G11" si="0">+SUM(C8:F8)</f>
        <v>0</v>
      </c>
      <c r="H8" s="1"/>
      <c r="I8" s="1"/>
      <c r="J8" s="1"/>
    </row>
    <row r="9" spans="1:10">
      <c r="A9" s="33"/>
      <c r="B9" s="1" t="s">
        <v>358</v>
      </c>
      <c r="C9" s="1"/>
      <c r="D9" s="1"/>
      <c r="E9" s="1"/>
      <c r="F9" s="1"/>
      <c r="G9" s="1">
        <f t="shared" si="0"/>
        <v>0</v>
      </c>
      <c r="H9" s="1"/>
      <c r="I9" s="1"/>
      <c r="J9" s="1"/>
    </row>
    <row r="10" spans="1:10">
      <c r="A10" s="33"/>
      <c r="B10" s="1" t="s">
        <v>361</v>
      </c>
      <c r="C10" s="1"/>
      <c r="D10" s="1"/>
      <c r="E10" s="1"/>
      <c r="F10" s="1"/>
      <c r="G10" s="1">
        <f t="shared" si="0"/>
        <v>0</v>
      </c>
      <c r="H10" s="1"/>
      <c r="I10" s="1"/>
      <c r="J10" s="1"/>
    </row>
    <row r="11" spans="1:10">
      <c r="A11" s="1"/>
      <c r="B11" s="1" t="s">
        <v>362</v>
      </c>
      <c r="C11" s="1"/>
      <c r="D11" s="1"/>
      <c r="E11" s="1"/>
      <c r="F11" s="1"/>
      <c r="G11" s="1">
        <f t="shared" si="0"/>
        <v>0</v>
      </c>
      <c r="H11" s="1"/>
      <c r="I11" s="1"/>
      <c r="J11" s="1"/>
    </row>
    <row r="12" spans="1:10">
      <c r="A12" s="1"/>
      <c r="B12" s="7" t="s">
        <v>200</v>
      </c>
      <c r="C12" s="8">
        <f>+SUM(C7:C11)</f>
        <v>0</v>
      </c>
      <c r="D12" s="8">
        <f t="shared" ref="D12:G12" si="1">+SUM(D7:D11)</f>
        <v>0</v>
      </c>
      <c r="E12" s="8">
        <f t="shared" si="1"/>
        <v>0</v>
      </c>
      <c r="F12" s="8">
        <f t="shared" si="1"/>
        <v>0</v>
      </c>
      <c r="G12" s="14">
        <f t="shared" si="1"/>
        <v>0</v>
      </c>
      <c r="H12" s="1"/>
      <c r="I12" s="1"/>
      <c r="J12" s="1"/>
    </row>
    <row r="13" spans="1:10">
      <c r="A13" s="1"/>
      <c r="B13" s="1"/>
      <c r="C13" s="1"/>
      <c r="D13" s="1"/>
      <c r="E13" s="1"/>
      <c r="F13" s="1"/>
      <c r="G13" s="1"/>
      <c r="H13" s="1"/>
      <c r="I13" s="1"/>
      <c r="J13" s="1"/>
    </row>
    <row r="14" spans="1:10">
      <c r="A14" s="1"/>
      <c r="B14" s="2" t="s">
        <v>360</v>
      </c>
      <c r="C14" s="1" t="s">
        <v>342</v>
      </c>
      <c r="D14" s="1"/>
      <c r="E14" s="1"/>
      <c r="F14" s="1"/>
      <c r="G14" s="1"/>
      <c r="H14" s="1"/>
      <c r="I14" s="1"/>
      <c r="J14" s="1"/>
    </row>
    <row r="15" spans="1:10">
      <c r="A15" s="1"/>
      <c r="B15" s="1" t="s">
        <v>151</v>
      </c>
      <c r="C15" s="1"/>
      <c r="D15" s="1"/>
      <c r="E15" s="1"/>
      <c r="F15" s="1"/>
      <c r="G15" s="1">
        <f>+SUM(C15:F15)</f>
        <v>0</v>
      </c>
      <c r="H15" s="1"/>
      <c r="I15" s="1"/>
      <c r="J15" s="1"/>
    </row>
    <row r="16" spans="1:10">
      <c r="A16" s="1"/>
      <c r="B16" s="1" t="s">
        <v>152</v>
      </c>
      <c r="C16" s="1"/>
      <c r="D16" s="1"/>
      <c r="E16" s="1"/>
      <c r="F16" s="1"/>
      <c r="G16" s="1">
        <f t="shared" ref="G16:G19" si="2">+SUM(C16:F16)</f>
        <v>0</v>
      </c>
      <c r="H16" s="1"/>
      <c r="I16" s="1"/>
      <c r="J16" s="1"/>
    </row>
    <row r="17" spans="1:10">
      <c r="A17" s="1"/>
      <c r="B17" s="1" t="s">
        <v>358</v>
      </c>
      <c r="C17" s="1"/>
      <c r="D17" s="1"/>
      <c r="E17" s="1"/>
      <c r="F17" s="1"/>
      <c r="G17" s="1">
        <f t="shared" si="2"/>
        <v>0</v>
      </c>
      <c r="H17" s="1"/>
      <c r="I17" s="1"/>
      <c r="J17" s="1"/>
    </row>
    <row r="18" spans="1:10">
      <c r="A18" s="1"/>
      <c r="B18" s="1" t="s">
        <v>361</v>
      </c>
      <c r="C18" s="1"/>
      <c r="D18" s="1"/>
      <c r="E18" s="1"/>
      <c r="F18" s="1"/>
      <c r="G18" s="1">
        <f t="shared" si="2"/>
        <v>0</v>
      </c>
      <c r="H18" s="1"/>
      <c r="I18" s="1"/>
      <c r="J18" s="1"/>
    </row>
    <row r="19" spans="1:10">
      <c r="A19" s="1"/>
      <c r="B19" s="1" t="s">
        <v>362</v>
      </c>
      <c r="C19" s="1"/>
      <c r="D19" s="1"/>
      <c r="E19" s="1"/>
      <c r="F19" s="1"/>
      <c r="G19" s="1">
        <f t="shared" si="2"/>
        <v>0</v>
      </c>
      <c r="H19" s="1"/>
      <c r="I19" s="1"/>
      <c r="J19" s="1"/>
    </row>
    <row r="20" spans="1:10">
      <c r="A20" s="1"/>
      <c r="B20" s="7" t="s">
        <v>200</v>
      </c>
      <c r="C20" s="8">
        <f>+SUM(C15:C19)</f>
        <v>0</v>
      </c>
      <c r="D20" s="8">
        <f t="shared" ref="D20:G20" si="3">+SUM(D15:D19)</f>
        <v>0</v>
      </c>
      <c r="E20" s="8">
        <f t="shared" si="3"/>
        <v>0</v>
      </c>
      <c r="F20" s="8">
        <f t="shared" si="3"/>
        <v>0</v>
      </c>
      <c r="G20" s="14">
        <f t="shared" si="3"/>
        <v>0</v>
      </c>
      <c r="H20" s="1"/>
      <c r="I20" s="1"/>
      <c r="J20" s="1"/>
    </row>
    <row r="21" spans="1:10">
      <c r="A21" s="1"/>
      <c r="B21" s="7" t="s">
        <v>189</v>
      </c>
      <c r="C21" s="8">
        <f>+C12+C20</f>
        <v>0</v>
      </c>
      <c r="D21" s="8">
        <f t="shared" ref="D21:G21" si="4">+D12+D20</f>
        <v>0</v>
      </c>
      <c r="E21" s="8">
        <f t="shared" si="4"/>
        <v>0</v>
      </c>
      <c r="F21" s="8">
        <f t="shared" si="4"/>
        <v>0</v>
      </c>
      <c r="G21" s="14">
        <f t="shared" si="4"/>
        <v>0</v>
      </c>
      <c r="H21" s="1"/>
      <c r="I21" s="1"/>
      <c r="J21" s="1"/>
    </row>
    <row r="22" spans="1:10">
      <c r="A22" s="1"/>
      <c r="B22" s="2"/>
      <c r="C22" s="2"/>
      <c r="D22" s="2"/>
      <c r="E22" s="2"/>
      <c r="F22" s="2"/>
      <c r="G22" s="2"/>
      <c r="H22" s="1"/>
      <c r="I22" s="1"/>
      <c r="J22" s="1"/>
    </row>
    <row r="23" spans="1:10">
      <c r="A23" s="1"/>
      <c r="B23" s="3" t="s">
        <v>289</v>
      </c>
      <c r="C23" s="25"/>
      <c r="D23" s="25"/>
      <c r="E23" s="25"/>
      <c r="F23" s="25"/>
      <c r="G23" s="17">
        <f>+G21-'Nº9 Col cred Social'!D18</f>
        <v>0</v>
      </c>
      <c r="H23" s="1"/>
      <c r="I23" s="1"/>
      <c r="J23" s="1"/>
    </row>
    <row r="24" spans="1:10">
      <c r="A24" s="1" t="s">
        <v>199</v>
      </c>
      <c r="B24" s="1"/>
      <c r="C24" s="2"/>
      <c r="D24" s="2"/>
      <c r="E24" s="2"/>
      <c r="F24" s="1"/>
      <c r="G24" s="1"/>
      <c r="H24" s="1"/>
      <c r="I24" s="1"/>
      <c r="J24" s="1"/>
    </row>
    <row r="25" spans="1:10">
      <c r="A25" s="243">
        <f>+Datos!E6</f>
        <v>45291</v>
      </c>
      <c r="B25" s="1"/>
      <c r="C25" s="1"/>
      <c r="D25" s="1"/>
      <c r="E25" s="1"/>
      <c r="F25" s="1"/>
      <c r="G25" s="1"/>
      <c r="H25" s="1"/>
      <c r="I25" s="1"/>
      <c r="J25" s="1"/>
    </row>
    <row r="26" spans="1:10" ht="39.4">
      <c r="A26" s="33"/>
      <c r="B26" s="38"/>
      <c r="C26" s="40" t="s">
        <v>363</v>
      </c>
      <c r="D26" s="40" t="s">
        <v>364</v>
      </c>
      <c r="E26" s="40" t="s">
        <v>365</v>
      </c>
      <c r="F26" s="40" t="s">
        <v>366</v>
      </c>
      <c r="G26" s="455" t="s">
        <v>109</v>
      </c>
      <c r="H26" s="1"/>
      <c r="I26" s="1"/>
      <c r="J26" s="1"/>
    </row>
    <row r="27" spans="1:10">
      <c r="A27" s="33"/>
      <c r="B27" s="4"/>
      <c r="C27" s="256" t="s">
        <v>20</v>
      </c>
      <c r="D27" s="256" t="s">
        <v>20</v>
      </c>
      <c r="E27" s="256" t="s">
        <v>20</v>
      </c>
      <c r="F27" s="256" t="s">
        <v>20</v>
      </c>
      <c r="G27" s="257" t="s">
        <v>20</v>
      </c>
      <c r="H27" s="1"/>
      <c r="I27" s="1"/>
      <c r="J27" s="1"/>
    </row>
    <row r="28" spans="1:10">
      <c r="A28" s="33"/>
      <c r="B28" s="2" t="s">
        <v>359</v>
      </c>
      <c r="C28" s="1"/>
      <c r="D28" s="1"/>
      <c r="E28" s="1"/>
      <c r="F28" s="1"/>
      <c r="G28" s="1"/>
      <c r="H28" s="1"/>
      <c r="I28" s="1"/>
      <c r="J28" s="1"/>
    </row>
    <row r="29" spans="1:10">
      <c r="A29" s="33"/>
      <c r="B29" s="1" t="s">
        <v>151</v>
      </c>
      <c r="C29" s="1"/>
      <c r="D29" s="1"/>
      <c r="E29" s="1"/>
      <c r="F29" s="1"/>
      <c r="G29" s="1">
        <f>+SUM(C29:F29)</f>
        <v>0</v>
      </c>
      <c r="H29" s="1"/>
      <c r="I29" s="1"/>
      <c r="J29" s="1"/>
    </row>
    <row r="30" spans="1:10">
      <c r="A30" s="33"/>
      <c r="B30" s="1" t="s">
        <v>152</v>
      </c>
      <c r="C30" s="1"/>
      <c r="D30" s="1"/>
      <c r="E30" s="1"/>
      <c r="F30" s="1"/>
      <c r="G30" s="1">
        <f t="shared" ref="G30:G33" si="5">+SUM(C30:F30)</f>
        <v>0</v>
      </c>
      <c r="H30" s="1"/>
      <c r="I30" s="1"/>
      <c r="J30" s="1"/>
    </row>
    <row r="31" spans="1:10">
      <c r="A31" s="33"/>
      <c r="B31" s="1" t="s">
        <v>358</v>
      </c>
      <c r="C31" s="1"/>
      <c r="D31" s="1"/>
      <c r="E31" s="1"/>
      <c r="F31" s="1"/>
      <c r="G31" s="1">
        <f t="shared" si="5"/>
        <v>0</v>
      </c>
      <c r="H31" s="1"/>
      <c r="I31" s="1"/>
      <c r="J31" s="1"/>
    </row>
    <row r="32" spans="1:10">
      <c r="A32" s="1"/>
      <c r="B32" s="1" t="s">
        <v>361</v>
      </c>
      <c r="C32" s="1"/>
      <c r="D32" s="1"/>
      <c r="E32" s="1"/>
      <c r="F32" s="1"/>
      <c r="G32" s="1">
        <f t="shared" si="5"/>
        <v>0</v>
      </c>
      <c r="H32" s="1"/>
      <c r="I32" s="1"/>
      <c r="J32" s="1"/>
    </row>
    <row r="33" spans="1:10">
      <c r="A33" s="1"/>
      <c r="B33" s="1" t="s">
        <v>362</v>
      </c>
      <c r="C33" s="1"/>
      <c r="D33" s="1"/>
      <c r="E33" s="1"/>
      <c r="F33" s="1"/>
      <c r="G33" s="1">
        <f t="shared" si="5"/>
        <v>0</v>
      </c>
      <c r="H33" s="1"/>
      <c r="I33" s="1"/>
      <c r="J33" s="1"/>
    </row>
    <row r="34" spans="1:10">
      <c r="A34" s="1"/>
      <c r="B34" s="7" t="s">
        <v>200</v>
      </c>
      <c r="C34" s="8">
        <f>+SUM(C29:C33)</f>
        <v>0</v>
      </c>
      <c r="D34" s="8">
        <f t="shared" ref="D34:G34" si="6">+SUM(D29:D33)</f>
        <v>0</v>
      </c>
      <c r="E34" s="8">
        <f t="shared" si="6"/>
        <v>0</v>
      </c>
      <c r="F34" s="8">
        <f t="shared" si="6"/>
        <v>0</v>
      </c>
      <c r="G34" s="14">
        <f t="shared" si="6"/>
        <v>0</v>
      </c>
      <c r="H34" s="1"/>
      <c r="I34" s="1"/>
      <c r="J34" s="1"/>
    </row>
    <row r="35" spans="1:10">
      <c r="A35" s="1"/>
      <c r="B35" s="1"/>
      <c r="C35" s="1"/>
      <c r="D35" s="1"/>
      <c r="E35" s="1"/>
      <c r="F35" s="1"/>
      <c r="G35" s="1"/>
      <c r="H35" s="1"/>
      <c r="I35" s="1"/>
      <c r="J35" s="1"/>
    </row>
    <row r="36" spans="1:10">
      <c r="A36" s="1"/>
      <c r="B36" s="2" t="s">
        <v>360</v>
      </c>
      <c r="C36" s="1"/>
      <c r="D36" s="1"/>
      <c r="E36" s="1"/>
      <c r="F36" s="1"/>
      <c r="G36" s="1"/>
      <c r="H36" s="1"/>
      <c r="I36" s="1"/>
      <c r="J36" s="1"/>
    </row>
    <row r="37" spans="1:10">
      <c r="A37" s="1"/>
      <c r="B37" s="1" t="s">
        <v>151</v>
      </c>
      <c r="C37" s="1"/>
      <c r="D37" s="1"/>
      <c r="E37" s="1"/>
      <c r="F37" s="1"/>
      <c r="G37" s="1">
        <f>+SUM(C37:F37)</f>
        <v>0</v>
      </c>
      <c r="H37" s="1"/>
      <c r="I37" s="1"/>
      <c r="J37" s="1"/>
    </row>
    <row r="38" spans="1:10">
      <c r="A38" s="1"/>
      <c r="B38" s="1" t="s">
        <v>152</v>
      </c>
      <c r="C38" s="1"/>
      <c r="D38" s="1"/>
      <c r="E38" s="1"/>
      <c r="F38" s="1"/>
      <c r="G38" s="1">
        <f t="shared" ref="G38:G41" si="7">+SUM(C38:F38)</f>
        <v>0</v>
      </c>
      <c r="H38" s="1"/>
      <c r="I38" s="1"/>
      <c r="J38" s="1"/>
    </row>
    <row r="39" spans="1:10">
      <c r="A39" s="1"/>
      <c r="B39" s="1" t="s">
        <v>358</v>
      </c>
      <c r="C39" s="1"/>
      <c r="D39" s="1"/>
      <c r="E39" s="1"/>
      <c r="F39" s="1"/>
      <c r="G39" s="1">
        <f t="shared" si="7"/>
        <v>0</v>
      </c>
      <c r="H39" s="1"/>
      <c r="I39" s="1"/>
      <c r="J39" s="1"/>
    </row>
    <row r="40" spans="1:10">
      <c r="A40" s="1"/>
      <c r="B40" s="1" t="s">
        <v>361</v>
      </c>
      <c r="C40" s="1"/>
      <c r="D40" s="1"/>
      <c r="E40" s="1"/>
      <c r="F40" s="1"/>
      <c r="G40" s="1">
        <f t="shared" si="7"/>
        <v>0</v>
      </c>
      <c r="H40" s="1"/>
      <c r="I40" s="1"/>
      <c r="J40" s="1"/>
    </row>
    <row r="41" spans="1:10">
      <c r="A41" s="1"/>
      <c r="B41" s="1" t="s">
        <v>362</v>
      </c>
      <c r="C41" s="1"/>
      <c r="D41" s="1"/>
      <c r="E41" s="1"/>
      <c r="F41" s="1"/>
      <c r="G41" s="1">
        <f t="shared" si="7"/>
        <v>0</v>
      </c>
      <c r="H41" s="1"/>
      <c r="I41" s="1"/>
      <c r="J41" s="1"/>
    </row>
    <row r="42" spans="1:10">
      <c r="A42" s="1"/>
      <c r="B42" s="7" t="s">
        <v>200</v>
      </c>
      <c r="C42" s="8">
        <f>+SUM(C37:C41)</f>
        <v>0</v>
      </c>
      <c r="D42" s="8">
        <f t="shared" ref="D42:G42" si="8">+SUM(D37:D41)</f>
        <v>0</v>
      </c>
      <c r="E42" s="8">
        <f t="shared" si="8"/>
        <v>0</v>
      </c>
      <c r="F42" s="8">
        <f t="shared" si="8"/>
        <v>0</v>
      </c>
      <c r="G42" s="14">
        <f t="shared" si="8"/>
        <v>0</v>
      </c>
      <c r="H42" s="1"/>
      <c r="I42" s="1"/>
      <c r="J42" s="1"/>
    </row>
    <row r="43" spans="1:10">
      <c r="A43" s="1"/>
      <c r="B43" s="7" t="s">
        <v>189</v>
      </c>
      <c r="C43" s="8">
        <f>+C34+C42</f>
        <v>0</v>
      </c>
      <c r="D43" s="8">
        <f t="shared" ref="D43:G43" si="9">+D34+D42</f>
        <v>0</v>
      </c>
      <c r="E43" s="8">
        <f t="shared" si="9"/>
        <v>0</v>
      </c>
      <c r="F43" s="8">
        <f t="shared" si="9"/>
        <v>0</v>
      </c>
      <c r="G43" s="14">
        <f t="shared" si="9"/>
        <v>0</v>
      </c>
      <c r="H43" s="1"/>
      <c r="I43" s="1"/>
      <c r="J43" s="1"/>
    </row>
    <row r="44" spans="1:10">
      <c r="A44" s="1"/>
      <c r="B44" s="2"/>
      <c r="C44" s="2"/>
      <c r="D44" s="2"/>
      <c r="E44" s="2"/>
      <c r="F44" s="2"/>
      <c r="G44" s="2"/>
      <c r="H44" s="1"/>
      <c r="I44" s="1"/>
      <c r="J44" s="1"/>
    </row>
    <row r="45" spans="1:10">
      <c r="A45" s="1"/>
      <c r="B45" s="3" t="s">
        <v>289</v>
      </c>
      <c r="C45" s="25"/>
      <c r="D45" s="25"/>
      <c r="E45" s="25"/>
      <c r="F45" s="25"/>
      <c r="G45" s="17">
        <f>+G43-'Nº9 Col cred Social'!G18</f>
        <v>0</v>
      </c>
      <c r="H45" s="1"/>
      <c r="I45" s="1"/>
      <c r="J45" s="1"/>
    </row>
    <row r="46" spans="1:10">
      <c r="A46" s="1"/>
      <c r="B46" s="1"/>
      <c r="C46" s="1"/>
      <c r="D46" s="1"/>
      <c r="E46" s="1"/>
      <c r="F46" s="1"/>
      <c r="G46" s="1"/>
      <c r="H46" s="1"/>
      <c r="I46" s="1"/>
      <c r="J46" s="1"/>
    </row>
    <row r="47" spans="1:10">
      <c r="A47" s="243"/>
      <c r="B47" s="1"/>
      <c r="C47" s="1"/>
      <c r="D47" s="1"/>
      <c r="E47" s="1"/>
      <c r="F47" s="1"/>
      <c r="G47" s="1"/>
      <c r="H47" s="1"/>
      <c r="I47" s="1"/>
      <c r="J47" s="1"/>
    </row>
    <row r="48" spans="1:10">
      <c r="A48" s="1"/>
      <c r="B48" s="1"/>
      <c r="C48" s="255"/>
      <c r="D48" s="255"/>
      <c r="E48" s="255"/>
      <c r="F48" s="255"/>
      <c r="G48" s="255"/>
      <c r="H48" s="1"/>
      <c r="I48" s="1"/>
      <c r="J48" s="1"/>
    </row>
    <row r="49" spans="1:10">
      <c r="A49" s="1"/>
      <c r="B49" s="1"/>
      <c r="C49" s="255"/>
      <c r="D49" s="255"/>
      <c r="E49" s="255"/>
      <c r="F49" s="255"/>
      <c r="G49" s="255"/>
      <c r="H49" s="1"/>
      <c r="I49" s="1"/>
      <c r="J49" s="1"/>
    </row>
    <row r="50" spans="1:10">
      <c r="A50" s="1"/>
      <c r="B50" s="2"/>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2"/>
      <c r="C56" s="2"/>
      <c r="D56" s="2"/>
      <c r="E56" s="2"/>
      <c r="F56" s="2"/>
      <c r="G56" s="2"/>
      <c r="H56" s="1"/>
      <c r="I56" s="1"/>
      <c r="J56" s="1"/>
    </row>
    <row r="57" spans="1:10">
      <c r="A57" s="1"/>
      <c r="B57" s="1"/>
      <c r="C57" s="1"/>
      <c r="D57" s="1"/>
      <c r="E57" s="1"/>
      <c r="F57" s="1"/>
      <c r="G57" s="1"/>
      <c r="H57" s="1"/>
      <c r="I57" s="1"/>
      <c r="J57" s="1"/>
    </row>
    <row r="58" spans="1:10">
      <c r="A58" s="1"/>
      <c r="B58" s="2"/>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2"/>
      <c r="C64" s="2"/>
      <c r="D64" s="2"/>
      <c r="E64" s="2"/>
      <c r="F64" s="2"/>
      <c r="G64" s="2"/>
      <c r="H64" s="1"/>
      <c r="I64" s="1"/>
      <c r="J64" s="1"/>
    </row>
    <row r="65" spans="1:10">
      <c r="A65" s="1"/>
      <c r="B65" s="2"/>
      <c r="C65" s="2"/>
      <c r="D65" s="2"/>
      <c r="E65" s="2"/>
      <c r="F65" s="2"/>
      <c r="G65" s="2"/>
      <c r="H65" s="1"/>
      <c r="I65" s="1"/>
      <c r="J65" s="1"/>
    </row>
    <row r="66" spans="1:10">
      <c r="A66" s="1"/>
      <c r="B66" s="1"/>
      <c r="C66" s="1"/>
      <c r="D66" s="1"/>
      <c r="E66" s="1"/>
      <c r="F66" s="1"/>
      <c r="G66" s="1"/>
      <c r="H66" s="1"/>
      <c r="I66" s="1"/>
      <c r="J66" s="1"/>
    </row>
    <row r="67" spans="1:10">
      <c r="A67" s="1"/>
      <c r="B67" s="2"/>
      <c r="C67" s="2"/>
      <c r="D67" s="2"/>
      <c r="E67" s="2"/>
      <c r="F67" s="2"/>
      <c r="G67" s="50"/>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sheetData>
  <sheetProtection password="DF8B" sheet="1" objects="1" scenarios="1"/>
  <hyperlinks>
    <hyperlink ref="F1" location="'Est Situacion'!A1" display="Volver" xr:uid="{00000000-0004-0000-2A00-000000000000}"/>
    <hyperlink ref="I3" location="'Nº9 Col cred Social'!A1" display="IR NOTA CREDITO SOCIAL" xr:uid="{00000000-0004-0000-2A00-000001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G32"/>
  <sheetViews>
    <sheetView showGridLines="0" workbookViewId="0">
      <selection activeCell="I30" sqref="I30"/>
    </sheetView>
  </sheetViews>
  <sheetFormatPr baseColWidth="10" defaultRowHeight="14.25"/>
  <cols>
    <col min="1" max="1" width="14.796875" customWidth="1"/>
    <col min="2" max="2" width="35" customWidth="1"/>
    <col min="3" max="3" width="13.19921875" bestFit="1" customWidth="1"/>
    <col min="4" max="5" width="14.19921875" bestFit="1" customWidth="1"/>
  </cols>
  <sheetData>
    <row r="1" spans="1:7">
      <c r="A1" t="s">
        <v>367</v>
      </c>
      <c r="B1" s="1"/>
      <c r="C1" s="1"/>
      <c r="D1" s="1"/>
      <c r="E1" s="1"/>
      <c r="F1" s="56" t="s">
        <v>417</v>
      </c>
      <c r="G1" s="1"/>
    </row>
    <row r="2" spans="1:7">
      <c r="A2" s="1"/>
      <c r="B2" s="1"/>
      <c r="C2" s="1"/>
      <c r="D2" s="1"/>
      <c r="E2" s="1"/>
      <c r="F2" s="1"/>
      <c r="G2" s="1"/>
    </row>
    <row r="3" spans="1:7">
      <c r="A3" s="1" t="s">
        <v>368</v>
      </c>
      <c r="B3" s="1"/>
      <c r="C3" s="1"/>
      <c r="D3" s="1"/>
      <c r="E3" s="1"/>
      <c r="F3" s="1"/>
      <c r="G3" s="1"/>
    </row>
    <row r="4" spans="1:7">
      <c r="A4" s="1"/>
      <c r="B4" s="1"/>
      <c r="C4" s="1"/>
      <c r="D4" s="1"/>
      <c r="E4" s="1"/>
      <c r="F4" s="1"/>
      <c r="G4" s="1"/>
    </row>
    <row r="5" spans="1:7">
      <c r="A5" s="1"/>
      <c r="B5" s="2358" t="s">
        <v>371</v>
      </c>
      <c r="C5" s="1229" t="s">
        <v>319</v>
      </c>
      <c r="D5" s="1388" t="s">
        <v>199</v>
      </c>
      <c r="E5" s="1388" t="s">
        <v>199</v>
      </c>
      <c r="F5" s="2"/>
      <c r="G5" s="1"/>
    </row>
    <row r="6" spans="1:7">
      <c r="A6" s="1"/>
      <c r="B6" s="2359"/>
      <c r="C6" s="1378">
        <f>+Datos!D6</f>
        <v>45657</v>
      </c>
      <c r="D6" s="1289">
        <f>+Datos!E6</f>
        <v>45291</v>
      </c>
      <c r="E6" s="1289">
        <f>+Datos!F6</f>
        <v>44927</v>
      </c>
      <c r="F6" s="458"/>
      <c r="G6" s="1"/>
    </row>
    <row r="7" spans="1:7">
      <c r="A7" s="1"/>
      <c r="B7" s="2360"/>
      <c r="C7" s="1221" t="s">
        <v>20</v>
      </c>
      <c r="D7" s="1277" t="s">
        <v>20</v>
      </c>
      <c r="E7" s="1277" t="s">
        <v>20</v>
      </c>
      <c r="F7" s="10"/>
      <c r="G7" s="1"/>
    </row>
    <row r="8" spans="1:7">
      <c r="A8" s="1"/>
      <c r="B8" s="188"/>
      <c r="C8" s="188"/>
      <c r="D8" s="188"/>
      <c r="E8" s="188"/>
      <c r="F8" s="188"/>
      <c r="G8" s="1"/>
    </row>
    <row r="9" spans="1:7">
      <c r="A9" s="1"/>
      <c r="B9" s="188"/>
      <c r="C9" s="188"/>
      <c r="D9" s="188"/>
      <c r="E9" s="188"/>
      <c r="F9" s="188"/>
      <c r="G9" s="1"/>
    </row>
    <row r="10" spans="1:7">
      <c r="A10" s="1"/>
      <c r="B10" s="1242" t="s">
        <v>189</v>
      </c>
      <c r="C10" s="1224">
        <f>+SUM(C9:C9)</f>
        <v>0</v>
      </c>
      <c r="D10" s="1389">
        <f>+SUM(D9:D9)</f>
        <v>0</v>
      </c>
      <c r="E10" s="1389">
        <f>+SUM(E9:E9)</f>
        <v>0</v>
      </c>
      <c r="F10" s="2"/>
      <c r="G10" s="1"/>
    </row>
    <row r="11" spans="1:7">
      <c r="A11" s="1"/>
      <c r="B11" s="1"/>
      <c r="C11" s="1"/>
      <c r="D11" s="1"/>
      <c r="E11" s="1"/>
      <c r="F11" s="1"/>
      <c r="G11" s="1"/>
    </row>
    <row r="12" spans="1:7">
      <c r="A12" s="1"/>
      <c r="B12" s="1"/>
      <c r="C12" s="1"/>
      <c r="D12" s="1"/>
      <c r="E12" s="1"/>
      <c r="F12" s="1"/>
      <c r="G12" s="1"/>
    </row>
    <row r="13" spans="1:7">
      <c r="A13" s="1"/>
      <c r="B13" s="41" t="s">
        <v>201</v>
      </c>
      <c r="C13" s="15">
        <f>+C11-'Est Situacion'!G49</f>
        <v>0</v>
      </c>
      <c r="D13" s="17">
        <f>+D11-'Est Situacion'!G49</f>
        <v>0</v>
      </c>
      <c r="E13" s="17">
        <f>+E11-'Est Situacion'!H49</f>
        <v>0</v>
      </c>
      <c r="F13" s="50"/>
      <c r="G13" s="1"/>
    </row>
    <row r="14" spans="1:7">
      <c r="A14" s="1"/>
      <c r="B14" s="1"/>
      <c r="C14" s="1"/>
      <c r="D14" s="1"/>
      <c r="E14" s="1"/>
      <c r="F14" s="1"/>
      <c r="G14" s="1"/>
    </row>
    <row r="15" spans="1:7">
      <c r="A15" s="1"/>
      <c r="B15" s="1"/>
      <c r="C15" s="1"/>
      <c r="D15" s="1"/>
      <c r="E15" s="1"/>
      <c r="F15" s="1"/>
      <c r="G15" s="1"/>
    </row>
    <row r="16" spans="1:7">
      <c r="A16" s="1" t="s">
        <v>369</v>
      </c>
      <c r="B16" s="1"/>
      <c r="C16" s="1"/>
      <c r="D16" s="1"/>
      <c r="E16" s="1"/>
      <c r="F16" s="1"/>
      <c r="G16" s="1"/>
    </row>
    <row r="17" spans="1:7">
      <c r="A17" s="1"/>
      <c r="B17" s="1"/>
      <c r="C17" s="1"/>
      <c r="D17" s="1"/>
      <c r="E17" s="1"/>
      <c r="F17" s="1"/>
      <c r="G17" s="1"/>
    </row>
    <row r="18" spans="1:7">
      <c r="A18" s="1"/>
      <c r="B18" s="2358" t="s">
        <v>371</v>
      </c>
      <c r="C18" s="1229" t="s">
        <v>319</v>
      </c>
      <c r="D18" s="1388" t="s">
        <v>199</v>
      </c>
      <c r="E18" s="1388" t="s">
        <v>199</v>
      </c>
      <c r="F18" s="2"/>
      <c r="G18" s="1"/>
    </row>
    <row r="19" spans="1:7">
      <c r="A19" s="1"/>
      <c r="B19" s="2359"/>
      <c r="C19" s="1378">
        <f>+Datos!D6</f>
        <v>45657</v>
      </c>
      <c r="D19" s="1289">
        <f>+Datos!E6</f>
        <v>45291</v>
      </c>
      <c r="E19" s="1289">
        <f>+Datos!F6</f>
        <v>44927</v>
      </c>
      <c r="F19" s="458"/>
      <c r="G19" s="1"/>
    </row>
    <row r="20" spans="1:7">
      <c r="A20" s="1"/>
      <c r="B20" s="2360"/>
      <c r="C20" s="1221" t="s">
        <v>20</v>
      </c>
      <c r="D20" s="1277" t="s">
        <v>20</v>
      </c>
      <c r="E20" s="1277" t="s">
        <v>20</v>
      </c>
      <c r="F20" s="10"/>
      <c r="G20" s="1"/>
    </row>
    <row r="21" spans="1:7">
      <c r="A21" s="1"/>
      <c r="B21" s="188"/>
      <c r="C21" s="188"/>
      <c r="D21" s="188"/>
      <c r="E21" s="188"/>
      <c r="F21" s="188"/>
      <c r="G21" s="1"/>
    </row>
    <row r="22" spans="1:7">
      <c r="A22" s="1"/>
      <c r="B22" s="188"/>
      <c r="C22" s="188"/>
      <c r="D22" s="188"/>
      <c r="E22" s="188"/>
      <c r="F22" s="188"/>
      <c r="G22" s="1"/>
    </row>
    <row r="23" spans="1:7">
      <c r="A23" s="1"/>
      <c r="B23" s="188"/>
      <c r="C23" s="188"/>
      <c r="D23" s="188"/>
      <c r="E23" s="188"/>
      <c r="F23" s="188"/>
      <c r="G23" s="1"/>
    </row>
    <row r="24" spans="1:7">
      <c r="A24" s="1"/>
      <c r="B24" s="1242" t="s">
        <v>189</v>
      </c>
      <c r="C24" s="1224">
        <f>+SUM(C22:C23)</f>
        <v>0</v>
      </c>
      <c r="D24" s="1389">
        <f>+SUM(D22:D23)</f>
        <v>0</v>
      </c>
      <c r="E24" s="1389">
        <f>+SUM(E22:E23)</f>
        <v>0</v>
      </c>
      <c r="F24" s="2"/>
      <c r="G24" s="1"/>
    </row>
    <row r="25" spans="1:7">
      <c r="A25" s="1"/>
      <c r="B25" s="1"/>
      <c r="C25" s="1"/>
      <c r="D25" s="1"/>
      <c r="E25" s="1"/>
      <c r="F25" s="1"/>
      <c r="G25" s="1"/>
    </row>
    <row r="26" spans="1:7">
      <c r="A26" s="1"/>
      <c r="B26" s="1"/>
      <c r="C26" s="1"/>
      <c r="D26" s="1"/>
      <c r="E26" s="1"/>
      <c r="F26" s="1"/>
      <c r="G26" s="1"/>
    </row>
    <row r="27" spans="1:7">
      <c r="A27" s="1"/>
      <c r="B27" s="41" t="s">
        <v>201</v>
      </c>
      <c r="C27" s="15">
        <f>+C25-'Est Situacion'!G65</f>
        <v>0</v>
      </c>
      <c r="D27" s="17">
        <f>+D25-'Est Situacion'!G65</f>
        <v>0</v>
      </c>
      <c r="E27" s="17">
        <f>+E25-'Est Situacion'!H65</f>
        <v>0</v>
      </c>
      <c r="F27" s="50"/>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sheetData>
  <sheetProtection algorithmName="SHA-512" hashValue="MlYEhnusjTvJQDWwHWXj/ySk7Gy62PjpgpFwJV8mFSvWdOGRHsUHnb6VTaoA99oqQLiqChDHvnSNvKnmsrSEpA==" saltValue="g0x5EFwwXr3LuYx8pV+I5w==" spinCount="100000" sheet="1" objects="1" scenarios="1"/>
  <mergeCells count="2">
    <mergeCell ref="B5:B7"/>
    <mergeCell ref="B18:B20"/>
  </mergeCells>
  <hyperlinks>
    <hyperlink ref="F1" location="'Est Situacion'!A1" display="Volver" xr:uid="{00000000-0004-0000-2B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51"/>
  <dimension ref="A1:M43"/>
  <sheetViews>
    <sheetView showGridLines="0" workbookViewId="0">
      <selection activeCell="I31" sqref="I31"/>
    </sheetView>
  </sheetViews>
  <sheetFormatPr baseColWidth="10" defaultRowHeight="14.25"/>
  <cols>
    <col min="2" max="2" width="36.796875" customWidth="1"/>
    <col min="3" max="8" width="13.46484375" customWidth="1"/>
    <col min="10" max="10" width="50.796875" bestFit="1" customWidth="1"/>
  </cols>
  <sheetData>
    <row r="1" spans="1:13">
      <c r="A1" t="s">
        <v>642</v>
      </c>
      <c r="B1" s="28"/>
      <c r="C1" s="28"/>
      <c r="D1" s="56" t="s">
        <v>417</v>
      </c>
      <c r="E1" s="28"/>
      <c r="F1" s="28"/>
      <c r="G1" s="28"/>
      <c r="H1" s="28"/>
    </row>
    <row r="2" spans="1:13">
      <c r="A2" s="28"/>
      <c r="B2" s="28"/>
      <c r="C2" s="28"/>
      <c r="D2" s="28"/>
      <c r="E2" s="28"/>
      <c r="F2" s="28"/>
      <c r="G2" s="28"/>
      <c r="H2" s="28"/>
    </row>
    <row r="3" spans="1:13">
      <c r="A3" s="28"/>
      <c r="B3" s="28"/>
      <c r="C3" s="28"/>
      <c r="D3" s="28"/>
      <c r="E3" s="28"/>
      <c r="F3" s="28"/>
      <c r="G3" s="28"/>
      <c r="H3" s="28"/>
    </row>
    <row r="4" spans="1:13">
      <c r="A4" s="28"/>
      <c r="B4" s="28"/>
      <c r="C4" s="28"/>
      <c r="D4" s="28"/>
      <c r="E4" s="28"/>
      <c r="F4" s="28"/>
      <c r="G4" s="28"/>
      <c r="H4" s="28"/>
    </row>
    <row r="5" spans="1:13">
      <c r="A5" s="28"/>
      <c r="B5" s="82" t="s">
        <v>581</v>
      </c>
      <c r="C5" s="92"/>
      <c r="D5" s="92"/>
      <c r="E5" s="92"/>
      <c r="F5" s="92"/>
      <c r="G5" s="92"/>
      <c r="H5" s="92"/>
    </row>
    <row r="6" spans="1:13">
      <c r="A6" s="28"/>
      <c r="B6" s="84"/>
      <c r="C6" s="92"/>
      <c r="D6" s="92"/>
      <c r="E6" s="92"/>
      <c r="F6" s="92"/>
      <c r="G6" s="92"/>
      <c r="H6" s="92"/>
    </row>
    <row r="7" spans="1:13">
      <c r="A7" s="28"/>
      <c r="B7" s="84"/>
      <c r="C7" s="92"/>
      <c r="D7" s="92"/>
      <c r="E7" s="92"/>
      <c r="F7" s="92"/>
      <c r="G7" s="92"/>
      <c r="H7" s="92"/>
    </row>
    <row r="8" spans="1:13">
      <c r="A8" s="28"/>
      <c r="B8" s="84" t="s">
        <v>582</v>
      </c>
      <c r="C8" s="96"/>
      <c r="D8" s="96"/>
      <c r="E8" s="96"/>
      <c r="F8" s="96"/>
      <c r="G8" s="96"/>
      <c r="H8" s="96"/>
    </row>
    <row r="9" spans="1:13">
      <c r="A9" s="28"/>
      <c r="B9" s="83"/>
      <c r="C9" s="92"/>
      <c r="D9" s="92"/>
      <c r="E9" s="92"/>
      <c r="F9" s="92"/>
      <c r="G9" s="92"/>
      <c r="H9" s="92"/>
    </row>
    <row r="10" spans="1:13">
      <c r="A10" s="28"/>
      <c r="B10" s="2392" t="s">
        <v>591</v>
      </c>
      <c r="C10" s="2331" t="s">
        <v>319</v>
      </c>
      <c r="D10" s="2332"/>
      <c r="E10" s="2331" t="s">
        <v>199</v>
      </c>
      <c r="F10" s="2332"/>
      <c r="G10" s="2331" t="s">
        <v>199</v>
      </c>
      <c r="H10" s="2332"/>
    </row>
    <row r="11" spans="1:13">
      <c r="A11" s="28"/>
      <c r="B11" s="2393"/>
      <c r="C11" s="1309" t="s">
        <v>491</v>
      </c>
      <c r="D11" s="1390" t="s">
        <v>492</v>
      </c>
      <c r="E11" s="1308" t="s">
        <v>491</v>
      </c>
      <c r="F11" s="1390" t="s">
        <v>492</v>
      </c>
      <c r="G11" s="1308" t="s">
        <v>491</v>
      </c>
      <c r="H11" s="1390" t="s">
        <v>492</v>
      </c>
    </row>
    <row r="12" spans="1:13" ht="14.65" thickBot="1">
      <c r="A12" s="28"/>
      <c r="B12" s="2393"/>
      <c r="C12" s="1348">
        <f>+Datos!D6</f>
        <v>45657</v>
      </c>
      <c r="D12" s="1348">
        <f>+Datos!D6</f>
        <v>45657</v>
      </c>
      <c r="E12" s="1317">
        <f>+Datos!E6</f>
        <v>45291</v>
      </c>
      <c r="F12" s="1348">
        <f>+Datos!E6</f>
        <v>45291</v>
      </c>
      <c r="G12" s="1348">
        <f>+Datos!F6</f>
        <v>44927</v>
      </c>
      <c r="H12" s="1348">
        <f>+Datos!F6</f>
        <v>44927</v>
      </c>
    </row>
    <row r="13" spans="1:13" ht="14.65" thickBot="1">
      <c r="A13" s="28"/>
      <c r="B13" s="2394"/>
      <c r="C13" s="1222" t="s">
        <v>20</v>
      </c>
      <c r="D13" s="1366" t="s">
        <v>20</v>
      </c>
      <c r="E13" s="1277" t="s">
        <v>20</v>
      </c>
      <c r="F13" s="1366" t="s">
        <v>20</v>
      </c>
      <c r="G13" s="1277" t="s">
        <v>20</v>
      </c>
      <c r="H13" s="1366" t="s">
        <v>20</v>
      </c>
      <c r="J13" s="583"/>
      <c r="K13" s="584">
        <f>+D12</f>
        <v>45657</v>
      </c>
      <c r="L13" s="584">
        <f>+E12</f>
        <v>45291</v>
      </c>
      <c r="M13" s="606">
        <f>+H12</f>
        <v>44927</v>
      </c>
    </row>
    <row r="14" spans="1:13">
      <c r="A14" s="28"/>
      <c r="B14" s="99" t="s">
        <v>583</v>
      </c>
      <c r="C14" s="421"/>
      <c r="D14" s="422"/>
      <c r="E14" s="421"/>
      <c r="F14" s="422"/>
      <c r="G14" s="421"/>
      <c r="H14" s="422"/>
      <c r="J14" s="604"/>
      <c r="K14" s="625"/>
      <c r="L14" s="625"/>
      <c r="M14" s="605"/>
    </row>
    <row r="15" spans="1:13" ht="14.65" thickBot="1">
      <c r="A15" s="28"/>
      <c r="B15" s="99" t="s">
        <v>671</v>
      </c>
      <c r="C15" s="421"/>
      <c r="D15" s="422"/>
      <c r="E15" s="421"/>
      <c r="F15" s="422"/>
      <c r="G15" s="421"/>
      <c r="H15" s="422"/>
      <c r="J15" s="604"/>
      <c r="K15" s="625"/>
      <c r="L15" s="625"/>
      <c r="M15" s="605"/>
    </row>
    <row r="16" spans="1:13" ht="14.65" thickBot="1">
      <c r="A16" s="28"/>
      <c r="B16" s="99" t="s">
        <v>584</v>
      </c>
      <c r="C16" s="421"/>
      <c r="D16" s="422"/>
      <c r="E16" s="421"/>
      <c r="F16" s="422"/>
      <c r="G16" s="421"/>
      <c r="H16" s="422"/>
      <c r="J16" s="579"/>
      <c r="K16" s="580"/>
      <c r="L16" s="580"/>
      <c r="M16" s="607"/>
    </row>
    <row r="17" spans="1:8">
      <c r="A17" s="28"/>
      <c r="B17" s="99" t="s">
        <v>636</v>
      </c>
      <c r="C17" s="421"/>
      <c r="D17" s="422"/>
      <c r="E17" s="421"/>
      <c r="F17" s="422"/>
      <c r="G17" s="421"/>
      <c r="H17" s="422"/>
    </row>
    <row r="18" spans="1:8">
      <c r="A18" s="28"/>
      <c r="B18" s="99"/>
      <c r="C18" s="421"/>
      <c r="D18" s="422"/>
      <c r="E18" s="421"/>
      <c r="F18" s="422"/>
      <c r="G18" s="421"/>
      <c r="H18" s="422"/>
    </row>
    <row r="19" spans="1:8">
      <c r="A19" s="28"/>
      <c r="B19" s="100" t="s">
        <v>870</v>
      </c>
      <c r="C19" s="421"/>
      <c r="D19" s="422"/>
      <c r="E19" s="421"/>
      <c r="F19" s="422"/>
      <c r="G19" s="421"/>
      <c r="H19" s="422"/>
    </row>
    <row r="20" spans="1:8">
      <c r="A20" s="28"/>
      <c r="B20" s="100" t="s">
        <v>375</v>
      </c>
      <c r="C20" s="421"/>
      <c r="D20" s="422"/>
      <c r="E20" s="421"/>
      <c r="F20" s="422"/>
      <c r="G20" s="421"/>
      <c r="H20" s="422"/>
    </row>
    <row r="21" spans="1:8">
      <c r="A21" s="28"/>
      <c r="B21" s="100" t="s">
        <v>375</v>
      </c>
      <c r="C21" s="421"/>
      <c r="D21" s="422"/>
      <c r="E21" s="421"/>
      <c r="F21" s="422"/>
      <c r="G21" s="421"/>
      <c r="H21" s="422"/>
    </row>
    <row r="22" spans="1:8">
      <c r="A22" s="28"/>
      <c r="B22" s="1391" t="s">
        <v>109</v>
      </c>
      <c r="C22" s="1392">
        <f t="shared" ref="C22:F22" si="0">+SUM(C14:C21)</f>
        <v>0</v>
      </c>
      <c r="D22" s="1393">
        <f t="shared" si="0"/>
        <v>0</v>
      </c>
      <c r="E22" s="1392">
        <f t="shared" si="0"/>
        <v>0</v>
      </c>
      <c r="F22" s="1393">
        <f t="shared" si="0"/>
        <v>0</v>
      </c>
      <c r="G22" s="1392">
        <f t="shared" ref="G22:H22" si="1">+SUM(G14:G21)</f>
        <v>0</v>
      </c>
      <c r="H22" s="1393">
        <f t="shared" si="1"/>
        <v>0</v>
      </c>
    </row>
    <row r="23" spans="1:8">
      <c r="A23" s="28"/>
      <c r="B23" s="93"/>
      <c r="C23" s="423"/>
      <c r="D23" s="345"/>
      <c r="E23" s="370"/>
      <c r="F23" s="370"/>
      <c r="G23" s="370"/>
      <c r="H23" s="370"/>
    </row>
    <row r="24" spans="1:8">
      <c r="A24" s="28"/>
      <c r="B24" s="3" t="s">
        <v>289</v>
      </c>
      <c r="C24" s="424">
        <f>+C22-'Est Situacion'!G51</f>
        <v>0</v>
      </c>
      <c r="D24" s="425">
        <f>+D22-'Est Situacion'!G67</f>
        <v>0</v>
      </c>
      <c r="E24" s="424">
        <f>+E22-'Est Situacion'!H51</f>
        <v>0</v>
      </c>
      <c r="F24" s="424">
        <f>+F22-'Est Situacion'!H67</f>
        <v>0</v>
      </c>
      <c r="G24" s="424">
        <f>+G22-'Est Situacion'!I51</f>
        <v>0</v>
      </c>
      <c r="H24" s="424">
        <f>+H22-'Est Situacion'!I67</f>
        <v>0</v>
      </c>
    </row>
    <row r="25" spans="1:8">
      <c r="A25" s="28"/>
      <c r="B25" s="83"/>
      <c r="C25" s="92"/>
      <c r="D25" s="92"/>
      <c r="E25" s="92"/>
      <c r="F25" s="92"/>
      <c r="G25" s="92"/>
      <c r="H25" s="92"/>
    </row>
    <row r="26" spans="1:8">
      <c r="A26" s="28"/>
      <c r="B26" s="83"/>
      <c r="C26" s="92"/>
      <c r="D26" s="92"/>
      <c r="E26" s="92"/>
      <c r="F26" s="92"/>
      <c r="G26" s="92"/>
      <c r="H26" s="92"/>
    </row>
    <row r="27" spans="1:8">
      <c r="A27" s="28"/>
      <c r="B27" s="84" t="s">
        <v>585</v>
      </c>
      <c r="C27" s="92"/>
      <c r="D27" s="92"/>
      <c r="E27" s="92"/>
      <c r="F27" s="92"/>
      <c r="G27" s="92"/>
      <c r="H27" s="92"/>
    </row>
    <row r="28" spans="1:8">
      <c r="A28" s="28"/>
      <c r="B28" s="84"/>
      <c r="C28" s="92"/>
      <c r="D28" s="92"/>
      <c r="E28" s="92"/>
      <c r="F28" s="92"/>
      <c r="G28" s="92"/>
      <c r="H28" s="92"/>
    </row>
    <row r="29" spans="1:8">
      <c r="A29" s="28"/>
      <c r="B29" s="2395" t="s">
        <v>591</v>
      </c>
      <c r="C29" s="1266" t="s">
        <v>319</v>
      </c>
      <c r="D29" s="1308" t="s">
        <v>199</v>
      </c>
      <c r="E29" s="10"/>
      <c r="F29" s="92"/>
      <c r="G29" s="10"/>
      <c r="H29" s="92"/>
    </row>
    <row r="30" spans="1:8">
      <c r="A30" s="28"/>
      <c r="B30" s="2396"/>
      <c r="C30" s="1394">
        <f>+Datos!D6</f>
        <v>45657</v>
      </c>
      <c r="D30" s="1317">
        <f>+Datos!E6</f>
        <v>45291</v>
      </c>
      <c r="E30" s="457"/>
      <c r="F30" s="92"/>
      <c r="G30" s="457"/>
      <c r="H30" s="92"/>
    </row>
    <row r="31" spans="1:8">
      <c r="A31" s="28"/>
      <c r="B31" s="2397"/>
      <c r="C31" s="1270" t="s">
        <v>20</v>
      </c>
      <c r="D31" s="1277" t="s">
        <v>20</v>
      </c>
      <c r="E31" s="10"/>
      <c r="F31" s="92"/>
      <c r="G31" s="10"/>
      <c r="H31" s="92"/>
    </row>
    <row r="32" spans="1:8">
      <c r="A32" s="28"/>
      <c r="B32" s="97"/>
      <c r="C32" s="60"/>
      <c r="D32" s="98"/>
      <c r="E32" s="10"/>
      <c r="F32" s="92"/>
      <c r="G32" s="10"/>
      <c r="H32" s="92"/>
    </row>
    <row r="33" spans="1:8">
      <c r="A33" s="28"/>
      <c r="B33" s="85" t="s">
        <v>352</v>
      </c>
      <c r="C33" s="426">
        <f>+D38</f>
        <v>0</v>
      </c>
      <c r="D33" s="427">
        <f>+E38</f>
        <v>0</v>
      </c>
      <c r="E33" s="339"/>
      <c r="F33" s="92"/>
      <c r="G33" s="339"/>
      <c r="H33" s="92"/>
    </row>
    <row r="34" spans="1:8">
      <c r="A34" s="28"/>
      <c r="B34" s="85" t="s">
        <v>586</v>
      </c>
      <c r="C34" s="421"/>
      <c r="D34" s="427"/>
      <c r="E34" s="339"/>
      <c r="F34" s="92"/>
      <c r="G34" s="339"/>
      <c r="H34" s="92"/>
    </row>
    <row r="35" spans="1:8">
      <c r="A35" s="28"/>
      <c r="B35" s="85" t="s">
        <v>587</v>
      </c>
      <c r="C35" s="421"/>
      <c r="D35" s="427"/>
      <c r="E35" s="339"/>
      <c r="F35" s="92"/>
      <c r="G35" s="339"/>
      <c r="H35" s="92"/>
    </row>
    <row r="36" spans="1:8">
      <c r="A36" s="28"/>
      <c r="B36" s="85" t="s">
        <v>588</v>
      </c>
      <c r="C36" s="421"/>
      <c r="D36" s="428"/>
      <c r="E36" s="339"/>
      <c r="F36" s="92"/>
      <c r="G36" s="339"/>
      <c r="H36" s="92"/>
    </row>
    <row r="37" spans="1:8">
      <c r="A37" s="28"/>
      <c r="B37" s="94" t="s">
        <v>589</v>
      </c>
      <c r="C37" s="433">
        <f>SUM(C34:C36)</f>
        <v>0</v>
      </c>
      <c r="D37" s="429">
        <f t="shared" ref="D37" si="2">SUM(D34:D36)</f>
        <v>0</v>
      </c>
      <c r="E37" s="466"/>
      <c r="F37" s="84"/>
      <c r="G37" s="466"/>
      <c r="H37" s="84"/>
    </row>
    <row r="38" spans="1:8">
      <c r="A38" s="28"/>
      <c r="B38" s="88" t="s">
        <v>590</v>
      </c>
      <c r="C38" s="434">
        <f>+C33+C37</f>
        <v>0</v>
      </c>
      <c r="D38" s="430">
        <f t="shared" ref="D38" si="3">+D33+D37</f>
        <v>0</v>
      </c>
      <c r="E38" s="466"/>
      <c r="F38" s="92"/>
      <c r="G38" s="466"/>
      <c r="H38" s="92"/>
    </row>
    <row r="39" spans="1:8">
      <c r="A39" s="28"/>
      <c r="B39" s="95"/>
      <c r="C39" s="431"/>
      <c r="D39" s="339"/>
      <c r="E39" s="339"/>
      <c r="F39" s="92"/>
      <c r="G39" s="339"/>
      <c r="H39" s="92"/>
    </row>
    <row r="40" spans="1:8">
      <c r="A40" s="28"/>
      <c r="B40" s="52" t="s">
        <v>289</v>
      </c>
      <c r="C40" s="432">
        <f>+C38-(C22+D22)</f>
        <v>0</v>
      </c>
      <c r="D40" s="432">
        <f>+D38-(E22+F22)</f>
        <v>0</v>
      </c>
      <c r="E40" s="467"/>
      <c r="F40" s="28"/>
      <c r="G40" s="467"/>
      <c r="H40" s="28"/>
    </row>
    <row r="41" spans="1:8">
      <c r="A41" s="28"/>
      <c r="B41" s="28"/>
      <c r="C41" s="28"/>
      <c r="D41" s="28"/>
      <c r="E41" s="28"/>
      <c r="F41" s="28"/>
      <c r="G41" s="28"/>
      <c r="H41" s="28"/>
    </row>
    <row r="42" spans="1:8">
      <c r="A42" s="28"/>
      <c r="B42" s="28"/>
      <c r="C42" s="28"/>
      <c r="D42" s="28"/>
      <c r="E42" s="28"/>
      <c r="F42" s="28"/>
      <c r="G42" s="28"/>
      <c r="H42" s="28"/>
    </row>
    <row r="43" spans="1:8">
      <c r="A43" s="28"/>
      <c r="B43" s="28"/>
      <c r="C43" s="28"/>
      <c r="D43" s="28"/>
      <c r="E43" s="28"/>
      <c r="F43" s="28"/>
      <c r="G43" s="28"/>
      <c r="H43" s="28"/>
    </row>
  </sheetData>
  <sheetProtection algorithmName="SHA-512" hashValue="QcHqbaLCJBtvuy/RiNlapZykZeY7wFDs+kmYgsqn0lDP97zC64t7h1jQ+6V29Dd7C8/BckZHjk22plVwvKmOEg==" saltValue="PZ/QIruNhQIBoVtmrSlJkw==" spinCount="100000" sheet="1" objects="1" scenarios="1"/>
  <mergeCells count="5">
    <mergeCell ref="B10:B13"/>
    <mergeCell ref="C10:D10"/>
    <mergeCell ref="E10:F10"/>
    <mergeCell ref="G10:H10"/>
    <mergeCell ref="B29:B31"/>
  </mergeCells>
  <dataValidations count="1">
    <dataValidation type="whole" allowBlank="1" showInputMessage="1" showErrorMessage="1" sqref="E22 H14:H22 G37:G38 G22 F14:F22 D37:E38 C14:C22 C34:C39" xr:uid="{00000000-0002-0000-2D00-000000000000}">
      <formula1>-9.99999999999999E+21</formula1>
      <formula2>9.99999999999999E+21</formula2>
    </dataValidation>
  </dataValidations>
  <hyperlinks>
    <hyperlink ref="D1" location="'Est Situacion'!A1" display="Volver" xr:uid="{00000000-0004-0000-2D00-000000000000}"/>
  </hyperlinks>
  <pageMargins left="0.7" right="0.7" top="0.75" bottom="0.75" header="0.3" footer="0.3"/>
  <legacy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2"/>
  <dimension ref="A1:I39"/>
  <sheetViews>
    <sheetView showGridLines="0" workbookViewId="0">
      <selection activeCell="G30" sqref="G30"/>
    </sheetView>
  </sheetViews>
  <sheetFormatPr baseColWidth="10" defaultRowHeight="14.25"/>
  <cols>
    <col min="2" max="2" width="35.19921875" customWidth="1"/>
    <col min="3" max="3" width="16.796875" customWidth="1"/>
    <col min="4" max="4" width="18" customWidth="1"/>
    <col min="7" max="7" width="42.86328125" bestFit="1" customWidth="1"/>
  </cols>
  <sheetData>
    <row r="1" spans="1:9">
      <c r="A1" t="s">
        <v>803</v>
      </c>
      <c r="B1" s="1"/>
      <c r="C1" s="1"/>
      <c r="D1" s="1"/>
      <c r="E1" s="56" t="s">
        <v>417</v>
      </c>
      <c r="F1" s="1"/>
      <c r="G1" s="1"/>
      <c r="H1" s="1"/>
      <c r="I1" s="1"/>
    </row>
    <row r="2" spans="1:9">
      <c r="B2" s="1"/>
      <c r="C2" s="1"/>
      <c r="D2" s="1"/>
      <c r="E2" s="1"/>
      <c r="F2" s="1"/>
      <c r="G2" s="1"/>
      <c r="H2" s="1"/>
      <c r="I2" s="1"/>
    </row>
    <row r="3" spans="1:9">
      <c r="A3" s="1"/>
      <c r="B3" s="1"/>
      <c r="C3" s="1"/>
      <c r="D3" s="1"/>
      <c r="E3" s="1"/>
      <c r="F3" s="1"/>
      <c r="G3" s="1"/>
      <c r="H3" s="1"/>
      <c r="I3" s="1"/>
    </row>
    <row r="4" spans="1:9">
      <c r="A4" s="1"/>
      <c r="B4" s="1320"/>
      <c r="C4" s="1219" t="s">
        <v>243</v>
      </c>
      <c r="D4" s="1308" t="s">
        <v>244</v>
      </c>
      <c r="E4" s="1"/>
      <c r="F4" s="1"/>
      <c r="G4" s="1"/>
      <c r="H4" s="628"/>
      <c r="I4" s="628"/>
    </row>
    <row r="5" spans="1:9">
      <c r="A5" s="1"/>
      <c r="B5" s="1310" t="s">
        <v>376</v>
      </c>
      <c r="C5" s="1269">
        <f>+Datos!D8</f>
        <v>45657</v>
      </c>
      <c r="D5" s="1317">
        <f>+Datos!E8</f>
        <v>45291</v>
      </c>
      <c r="E5" s="1"/>
      <c r="F5" s="1"/>
      <c r="G5" s="1"/>
      <c r="H5" s="628"/>
      <c r="I5" s="628"/>
    </row>
    <row r="6" spans="1:9">
      <c r="A6" s="1"/>
      <c r="B6" s="1322" t="s">
        <v>123</v>
      </c>
      <c r="C6" s="1221" t="s">
        <v>20</v>
      </c>
      <c r="D6" s="1277" t="s">
        <v>20</v>
      </c>
      <c r="E6" s="1"/>
      <c r="F6" s="1"/>
      <c r="G6" s="1"/>
      <c r="H6" s="628"/>
      <c r="I6" s="628"/>
    </row>
    <row r="7" spans="1:9">
      <c r="A7" s="1"/>
      <c r="B7" s="1" t="s">
        <v>887</v>
      </c>
      <c r="C7" s="315"/>
      <c r="D7" s="315"/>
      <c r="E7" s="1"/>
      <c r="F7" s="1"/>
      <c r="G7" s="1"/>
      <c r="H7" s="628"/>
      <c r="I7" s="628"/>
    </row>
    <row r="8" spans="1:9">
      <c r="A8" s="1"/>
      <c r="B8" s="1" t="s">
        <v>888</v>
      </c>
      <c r="C8" s="315"/>
      <c r="D8" s="315"/>
      <c r="E8" s="1"/>
      <c r="F8" s="1"/>
      <c r="G8" s="1"/>
      <c r="H8" s="628"/>
      <c r="I8" s="628"/>
    </row>
    <row r="9" spans="1:9">
      <c r="A9" s="1"/>
      <c r="B9" s="1" t="s">
        <v>889</v>
      </c>
      <c r="C9" s="315"/>
      <c r="D9" s="315"/>
      <c r="E9" s="1"/>
      <c r="F9" s="1"/>
      <c r="G9" s="1"/>
      <c r="H9" s="628"/>
      <c r="I9" s="628"/>
    </row>
    <row r="10" spans="1:9">
      <c r="A10" s="1"/>
      <c r="B10" s="1" t="s">
        <v>890</v>
      </c>
      <c r="C10" s="315"/>
      <c r="D10" s="315"/>
      <c r="E10" s="1"/>
      <c r="F10" s="1"/>
      <c r="G10" s="1"/>
      <c r="H10" s="628"/>
      <c r="I10" s="628"/>
    </row>
    <row r="11" spans="1:9">
      <c r="A11" s="1"/>
      <c r="B11" s="1"/>
      <c r="C11" s="315"/>
      <c r="D11" s="315"/>
      <c r="E11" s="1"/>
      <c r="F11" s="1"/>
      <c r="G11" s="1"/>
      <c r="H11" s="628"/>
      <c r="I11" s="628"/>
    </row>
    <row r="12" spans="1:9">
      <c r="A12" s="1"/>
      <c r="B12" s="1"/>
      <c r="C12" s="315"/>
      <c r="D12" s="315"/>
      <c r="E12" s="1"/>
      <c r="F12" s="1"/>
      <c r="G12" s="1"/>
      <c r="H12" s="628"/>
      <c r="I12" s="628"/>
    </row>
    <row r="13" spans="1:9">
      <c r="A13" s="1"/>
      <c r="B13" s="1"/>
      <c r="C13" s="315"/>
      <c r="D13" s="315"/>
      <c r="E13" s="1"/>
      <c r="F13" s="1"/>
      <c r="G13" s="1"/>
      <c r="H13" s="628"/>
      <c r="I13" s="628"/>
    </row>
    <row r="14" spans="1:9">
      <c r="A14" s="1"/>
      <c r="B14" s="1"/>
      <c r="C14" s="315"/>
      <c r="D14" s="315"/>
      <c r="E14" s="1"/>
      <c r="F14" s="1"/>
      <c r="G14" s="2"/>
      <c r="H14" s="645"/>
      <c r="I14" s="630"/>
    </row>
    <row r="15" spans="1:9">
      <c r="A15" s="1"/>
      <c r="B15" s="1"/>
      <c r="C15" s="315"/>
      <c r="D15" s="315"/>
      <c r="E15" s="1"/>
      <c r="F15" s="1"/>
      <c r="G15" s="1"/>
      <c r="H15" s="628"/>
      <c r="I15" s="1"/>
    </row>
    <row r="16" spans="1:9">
      <c r="A16" s="1"/>
      <c r="B16" s="188"/>
      <c r="C16" s="315"/>
      <c r="D16" s="315"/>
      <c r="E16" s="1"/>
      <c r="F16" s="1"/>
      <c r="G16" s="1"/>
      <c r="H16" s="1"/>
      <c r="I16" s="1"/>
    </row>
    <row r="17" spans="1:9">
      <c r="A17" s="1"/>
      <c r="B17" s="188"/>
      <c r="C17" s="315"/>
      <c r="D17" s="315"/>
      <c r="E17" s="1"/>
      <c r="F17" s="1"/>
      <c r="G17" s="1"/>
      <c r="H17" s="1"/>
      <c r="I17" s="1"/>
    </row>
    <row r="18" spans="1:9">
      <c r="A18" s="1"/>
      <c r="B18" s="1242" t="s">
        <v>109</v>
      </c>
      <c r="C18" s="1395">
        <f>+SUM(C7:C17)</f>
        <v>0</v>
      </c>
      <c r="D18" s="1395">
        <f t="shared" ref="D18" si="0">+SUM(D7:D17)</f>
        <v>0</v>
      </c>
      <c r="E18" s="1"/>
      <c r="F18" s="1"/>
      <c r="G18" s="1"/>
      <c r="H18" s="1"/>
      <c r="I18" s="1"/>
    </row>
    <row r="19" spans="1:9">
      <c r="A19" s="1"/>
      <c r="B19" s="1"/>
      <c r="C19" s="1"/>
      <c r="D19" s="1"/>
      <c r="E19" s="1"/>
      <c r="F19" s="1"/>
      <c r="G19" s="1"/>
      <c r="H19" s="1"/>
      <c r="I19" s="1"/>
    </row>
    <row r="20" spans="1:9">
      <c r="A20" s="1"/>
      <c r="B20" s="41" t="s">
        <v>201</v>
      </c>
      <c r="C20" s="631">
        <f>+C18-'E°R° Natural SVS '!D9</f>
        <v>0</v>
      </c>
      <c r="D20" s="631">
        <f>+D18-'E°R° Natural SVS '!E9</f>
        <v>0</v>
      </c>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320"/>
      <c r="C23" s="1219" t="s">
        <v>243</v>
      </c>
      <c r="D23" s="1308" t="s">
        <v>244</v>
      </c>
      <c r="E23" s="1"/>
      <c r="F23" s="1"/>
      <c r="G23" s="1"/>
      <c r="H23" s="1"/>
      <c r="I23" s="1"/>
    </row>
    <row r="24" spans="1:9">
      <c r="A24" s="1"/>
      <c r="B24" s="1310" t="s">
        <v>884</v>
      </c>
      <c r="C24" s="1269">
        <f>+C5</f>
        <v>45657</v>
      </c>
      <c r="D24" s="1317">
        <f>+D5</f>
        <v>45291</v>
      </c>
      <c r="E24" s="1"/>
      <c r="F24" s="1"/>
      <c r="G24" s="1"/>
      <c r="H24" s="1"/>
      <c r="I24" s="1"/>
    </row>
    <row r="25" spans="1:9">
      <c r="B25" s="1322" t="s">
        <v>123</v>
      </c>
      <c r="C25" s="1221" t="s">
        <v>20</v>
      </c>
      <c r="D25" s="1277" t="s">
        <v>20</v>
      </c>
    </row>
    <row r="26" spans="1:9">
      <c r="B26" s="1"/>
      <c r="C26" s="315"/>
      <c r="D26" s="315">
        <f>+I23+I24+I25+I26+I27</f>
        <v>0</v>
      </c>
    </row>
    <row r="27" spans="1:9">
      <c r="B27" s="1"/>
      <c r="C27" s="315"/>
      <c r="D27" s="315">
        <f>+I28+I29</f>
        <v>0</v>
      </c>
    </row>
    <row r="28" spans="1:9">
      <c r="B28" s="1"/>
      <c r="C28" s="315"/>
      <c r="D28" s="315">
        <f>+I30+I32</f>
        <v>0</v>
      </c>
    </row>
    <row r="29" spans="1:9">
      <c r="B29" s="1"/>
      <c r="C29" s="315"/>
      <c r="D29" s="315">
        <f>+I31</f>
        <v>0</v>
      </c>
    </row>
    <row r="30" spans="1:9">
      <c r="B30" s="1"/>
      <c r="C30" s="315"/>
      <c r="D30" s="315"/>
    </row>
    <row r="31" spans="1:9">
      <c r="B31" s="1"/>
      <c r="C31" s="315"/>
      <c r="D31" s="315"/>
    </row>
    <row r="32" spans="1:9">
      <c r="B32" s="1"/>
      <c r="C32" s="315"/>
      <c r="D32" s="315"/>
    </row>
    <row r="33" spans="2:4">
      <c r="B33" s="1"/>
      <c r="C33" s="315"/>
      <c r="D33" s="315"/>
    </row>
    <row r="34" spans="2:4">
      <c r="B34" s="1"/>
      <c r="C34" s="315"/>
      <c r="D34" s="315"/>
    </row>
    <row r="35" spans="2:4">
      <c r="B35" s="188"/>
      <c r="C35" s="315"/>
      <c r="D35" s="315"/>
    </row>
    <row r="36" spans="2:4">
      <c r="B36" s="188"/>
      <c r="C36" s="315"/>
      <c r="D36" s="315"/>
    </row>
    <row r="37" spans="2:4">
      <c r="B37" s="7" t="s">
        <v>109</v>
      </c>
      <c r="C37" s="8">
        <f>+SUM(C26:C36)</f>
        <v>0</v>
      </c>
      <c r="D37" s="629">
        <f t="shared" ref="D37" si="1">+SUM(D26:D36)</f>
        <v>0</v>
      </c>
    </row>
    <row r="38" spans="2:4">
      <c r="B38" s="1"/>
      <c r="C38" s="1"/>
      <c r="D38" s="1"/>
    </row>
    <row r="39" spans="2:4">
      <c r="B39" s="41" t="s">
        <v>201</v>
      </c>
      <c r="C39" s="631">
        <f>+C37-'E°R° Natural SVS '!D28</f>
        <v>0</v>
      </c>
      <c r="D39" s="631">
        <f>+D37-'E°R° Natural SVS '!E28</f>
        <v>0</v>
      </c>
    </row>
  </sheetData>
  <sheetProtection algorithmName="SHA-512" hashValue="hl8km0gjdcp1WEKrI4qYmAuGKSho1Lj1mbVqCyWmV4B/R3azLpBptGuQl+wcLhlVvLQY373BI7ZlUUgR0/A4TQ==" saltValue="yZbqzld+hBCV0OuqU7udRw==" spinCount="100000" sheet="1" objects="1" scenarios="1"/>
  <hyperlinks>
    <hyperlink ref="E1" location="EºRº!A1" display="Volver" xr:uid="{00000000-0004-0000-2E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6E13-F134-4C61-BD5F-ABD9A2220971}">
  <dimension ref="A1:R161"/>
  <sheetViews>
    <sheetView topLeftCell="C1" zoomScale="120" zoomScaleNormal="120" workbookViewId="0">
      <pane ySplit="8" topLeftCell="A99" activePane="bottomLeft" state="frozen"/>
      <selection pane="bottomLeft" activeCell="D1" sqref="D1"/>
    </sheetView>
  </sheetViews>
  <sheetFormatPr baseColWidth="10" defaultColWidth="11.46484375" defaultRowHeight="14.25" outlineLevelCol="1"/>
  <cols>
    <col min="1" max="1" width="33.33203125" style="1720" customWidth="1"/>
    <col min="2" max="2" width="8.6640625" style="1720" bestFit="1" customWidth="1"/>
    <col min="3" max="3" width="48.46484375" style="1721" bestFit="1" customWidth="1"/>
    <col min="4" max="4" width="14.6640625" style="1721" bestFit="1" customWidth="1"/>
    <col min="5" max="8" width="3.46484375" style="1680" customWidth="1" outlineLevel="1"/>
    <col min="9" max="10" width="2.33203125" style="1680" customWidth="1" outlineLevel="1"/>
    <col min="11" max="11" width="2.6640625" style="1680" customWidth="1" outlineLevel="1"/>
    <col min="12" max="12" width="2.33203125" style="1680" customWidth="1" outlineLevel="1"/>
    <col min="13" max="14" width="3.46484375" style="1680" customWidth="1" outlineLevel="1"/>
    <col min="15" max="15" width="3.33203125" style="1680" customWidth="1" outlineLevel="1"/>
    <col min="16" max="16" width="0.33203125" style="1680" customWidth="1"/>
    <col min="17" max="17" width="10.53125" style="1686" bestFit="1" customWidth="1"/>
    <col min="18" max="18" width="28.53125" style="1686" bestFit="1" customWidth="1"/>
    <col min="19" max="256" width="11.46484375" style="211"/>
    <col min="257" max="257" width="43.33203125" style="211" customWidth="1"/>
    <col min="258" max="258" width="8.6640625" style="211" bestFit="1" customWidth="1"/>
    <col min="259" max="259" width="48.46484375" style="211" bestFit="1" customWidth="1"/>
    <col min="260" max="260" width="14.6640625" style="211" bestFit="1" customWidth="1"/>
    <col min="261" max="264" width="3.46484375" style="211" bestFit="1" customWidth="1"/>
    <col min="265" max="266" width="2.33203125" style="211" bestFit="1" customWidth="1"/>
    <col min="267" max="267" width="2.6640625" style="211" bestFit="1" customWidth="1"/>
    <col min="268" max="268" width="2.33203125" style="211" bestFit="1" customWidth="1"/>
    <col min="269" max="270" width="3.46484375" style="211" bestFit="1" customWidth="1"/>
    <col min="271" max="271" width="3.33203125" style="211" customWidth="1"/>
    <col min="272" max="272" width="0" style="211" hidden="1" customWidth="1"/>
    <col min="273" max="273" width="10.53125" style="211" bestFit="1" customWidth="1"/>
    <col min="274" max="274" width="28.53125" style="211" bestFit="1" customWidth="1"/>
    <col min="275" max="512" width="11.46484375" style="211"/>
    <col min="513" max="513" width="43.33203125" style="211" customWidth="1"/>
    <col min="514" max="514" width="8.6640625" style="211" bestFit="1" customWidth="1"/>
    <col min="515" max="515" width="48.46484375" style="211" bestFit="1" customWidth="1"/>
    <col min="516" max="516" width="14.6640625" style="211" bestFit="1" customWidth="1"/>
    <col min="517" max="520" width="3.46484375" style="211" bestFit="1" customWidth="1"/>
    <col min="521" max="522" width="2.33203125" style="211" bestFit="1" customWidth="1"/>
    <col min="523" max="523" width="2.6640625" style="211" bestFit="1" customWidth="1"/>
    <col min="524" max="524" width="2.33203125" style="211" bestFit="1" customWidth="1"/>
    <col min="525" max="526" width="3.46484375" style="211" bestFit="1" customWidth="1"/>
    <col min="527" max="527" width="3.33203125" style="211" customWidth="1"/>
    <col min="528" max="528" width="0" style="211" hidden="1" customWidth="1"/>
    <col min="529" max="529" width="10.53125" style="211" bestFit="1" customWidth="1"/>
    <col min="530" max="530" width="28.53125" style="211" bestFit="1" customWidth="1"/>
    <col min="531" max="768" width="11.46484375" style="211"/>
    <col min="769" max="769" width="43.33203125" style="211" customWidth="1"/>
    <col min="770" max="770" width="8.6640625" style="211" bestFit="1" customWidth="1"/>
    <col min="771" max="771" width="48.46484375" style="211" bestFit="1" customWidth="1"/>
    <col min="772" max="772" width="14.6640625" style="211" bestFit="1" customWidth="1"/>
    <col min="773" max="776" width="3.46484375" style="211" bestFit="1" customWidth="1"/>
    <col min="777" max="778" width="2.33203125" style="211" bestFit="1" customWidth="1"/>
    <col min="779" max="779" width="2.6640625" style="211" bestFit="1" customWidth="1"/>
    <col min="780" max="780" width="2.33203125" style="211" bestFit="1" customWidth="1"/>
    <col min="781" max="782" width="3.46484375" style="211" bestFit="1" customWidth="1"/>
    <col min="783" max="783" width="3.33203125" style="211" customWidth="1"/>
    <col min="784" max="784" width="0" style="211" hidden="1" customWidth="1"/>
    <col min="785" max="785" width="10.53125" style="211" bestFit="1" customWidth="1"/>
    <col min="786" max="786" width="28.53125" style="211" bestFit="1" customWidth="1"/>
    <col min="787" max="1024" width="11.46484375" style="211"/>
    <col min="1025" max="1025" width="43.33203125" style="211" customWidth="1"/>
    <col min="1026" max="1026" width="8.6640625" style="211" bestFit="1" customWidth="1"/>
    <col min="1027" max="1027" width="48.46484375" style="211" bestFit="1" customWidth="1"/>
    <col min="1028" max="1028" width="14.6640625" style="211" bestFit="1" customWidth="1"/>
    <col min="1029" max="1032" width="3.46484375" style="211" bestFit="1" customWidth="1"/>
    <col min="1033" max="1034" width="2.33203125" style="211" bestFit="1" customWidth="1"/>
    <col min="1035" max="1035" width="2.6640625" style="211" bestFit="1" customWidth="1"/>
    <col min="1036" max="1036" width="2.33203125" style="211" bestFit="1" customWidth="1"/>
    <col min="1037" max="1038" width="3.46484375" style="211" bestFit="1" customWidth="1"/>
    <col min="1039" max="1039" width="3.33203125" style="211" customWidth="1"/>
    <col min="1040" max="1040" width="0" style="211" hidden="1" customWidth="1"/>
    <col min="1041" max="1041" width="10.53125" style="211" bestFit="1" customWidth="1"/>
    <col min="1042" max="1042" width="28.53125" style="211" bestFit="1" customWidth="1"/>
    <col min="1043" max="1280" width="11.46484375" style="211"/>
    <col min="1281" max="1281" width="43.33203125" style="211" customWidth="1"/>
    <col min="1282" max="1282" width="8.6640625" style="211" bestFit="1" customWidth="1"/>
    <col min="1283" max="1283" width="48.46484375" style="211" bestFit="1" customWidth="1"/>
    <col min="1284" max="1284" width="14.6640625" style="211" bestFit="1" customWidth="1"/>
    <col min="1285" max="1288" width="3.46484375" style="211" bestFit="1" customWidth="1"/>
    <col min="1289" max="1290" width="2.33203125" style="211" bestFit="1" customWidth="1"/>
    <col min="1291" max="1291" width="2.6640625" style="211" bestFit="1" customWidth="1"/>
    <col min="1292" max="1292" width="2.33203125" style="211" bestFit="1" customWidth="1"/>
    <col min="1293" max="1294" width="3.46484375" style="211" bestFit="1" customWidth="1"/>
    <col min="1295" max="1295" width="3.33203125" style="211" customWidth="1"/>
    <col min="1296" max="1296" width="0" style="211" hidden="1" customWidth="1"/>
    <col min="1297" max="1297" width="10.53125" style="211" bestFit="1" customWidth="1"/>
    <col min="1298" max="1298" width="28.53125" style="211" bestFit="1" customWidth="1"/>
    <col min="1299" max="1536" width="11.46484375" style="211"/>
    <col min="1537" max="1537" width="43.33203125" style="211" customWidth="1"/>
    <col min="1538" max="1538" width="8.6640625" style="211" bestFit="1" customWidth="1"/>
    <col min="1539" max="1539" width="48.46484375" style="211" bestFit="1" customWidth="1"/>
    <col min="1540" max="1540" width="14.6640625" style="211" bestFit="1" customWidth="1"/>
    <col min="1541" max="1544" width="3.46484375" style="211" bestFit="1" customWidth="1"/>
    <col min="1545" max="1546" width="2.33203125" style="211" bestFit="1" customWidth="1"/>
    <col min="1547" max="1547" width="2.6640625" style="211" bestFit="1" customWidth="1"/>
    <col min="1548" max="1548" width="2.33203125" style="211" bestFit="1" customWidth="1"/>
    <col min="1549" max="1550" width="3.46484375" style="211" bestFit="1" customWidth="1"/>
    <col min="1551" max="1551" width="3.33203125" style="211" customWidth="1"/>
    <col min="1552" max="1552" width="0" style="211" hidden="1" customWidth="1"/>
    <col min="1553" max="1553" width="10.53125" style="211" bestFit="1" customWidth="1"/>
    <col min="1554" max="1554" width="28.53125" style="211" bestFit="1" customWidth="1"/>
    <col min="1555" max="1792" width="11.46484375" style="211"/>
    <col min="1793" max="1793" width="43.33203125" style="211" customWidth="1"/>
    <col min="1794" max="1794" width="8.6640625" style="211" bestFit="1" customWidth="1"/>
    <col min="1795" max="1795" width="48.46484375" style="211" bestFit="1" customWidth="1"/>
    <col min="1796" max="1796" width="14.6640625" style="211" bestFit="1" customWidth="1"/>
    <col min="1797" max="1800" width="3.46484375" style="211" bestFit="1" customWidth="1"/>
    <col min="1801" max="1802" width="2.33203125" style="211" bestFit="1" customWidth="1"/>
    <col min="1803" max="1803" width="2.6640625" style="211" bestFit="1" customWidth="1"/>
    <col min="1804" max="1804" width="2.33203125" style="211" bestFit="1" customWidth="1"/>
    <col min="1805" max="1806" width="3.46484375" style="211" bestFit="1" customWidth="1"/>
    <col min="1807" max="1807" width="3.33203125" style="211" customWidth="1"/>
    <col min="1808" max="1808" width="0" style="211" hidden="1" customWidth="1"/>
    <col min="1809" max="1809" width="10.53125" style="211" bestFit="1" customWidth="1"/>
    <col min="1810" max="1810" width="28.53125" style="211" bestFit="1" customWidth="1"/>
    <col min="1811" max="2048" width="11.46484375" style="211"/>
    <col min="2049" max="2049" width="43.33203125" style="211" customWidth="1"/>
    <col min="2050" max="2050" width="8.6640625" style="211" bestFit="1" customWidth="1"/>
    <col min="2051" max="2051" width="48.46484375" style="211" bestFit="1" customWidth="1"/>
    <col min="2052" max="2052" width="14.6640625" style="211" bestFit="1" customWidth="1"/>
    <col min="2053" max="2056" width="3.46484375" style="211" bestFit="1" customWidth="1"/>
    <col min="2057" max="2058" width="2.33203125" style="211" bestFit="1" customWidth="1"/>
    <col min="2059" max="2059" width="2.6640625" style="211" bestFit="1" customWidth="1"/>
    <col min="2060" max="2060" width="2.33203125" style="211" bestFit="1" customWidth="1"/>
    <col min="2061" max="2062" width="3.46484375" style="211" bestFit="1" customWidth="1"/>
    <col min="2063" max="2063" width="3.33203125" style="211" customWidth="1"/>
    <col min="2064" max="2064" width="0" style="211" hidden="1" customWidth="1"/>
    <col min="2065" max="2065" width="10.53125" style="211" bestFit="1" customWidth="1"/>
    <col min="2066" max="2066" width="28.53125" style="211" bestFit="1" customWidth="1"/>
    <col min="2067" max="2304" width="11.46484375" style="211"/>
    <col min="2305" max="2305" width="43.33203125" style="211" customWidth="1"/>
    <col min="2306" max="2306" width="8.6640625" style="211" bestFit="1" customWidth="1"/>
    <col min="2307" max="2307" width="48.46484375" style="211" bestFit="1" customWidth="1"/>
    <col min="2308" max="2308" width="14.6640625" style="211" bestFit="1" customWidth="1"/>
    <col min="2309" max="2312" width="3.46484375" style="211" bestFit="1" customWidth="1"/>
    <col min="2313" max="2314" width="2.33203125" style="211" bestFit="1" customWidth="1"/>
    <col min="2315" max="2315" width="2.6640625" style="211" bestFit="1" customWidth="1"/>
    <col min="2316" max="2316" width="2.33203125" style="211" bestFit="1" customWidth="1"/>
    <col min="2317" max="2318" width="3.46484375" style="211" bestFit="1" customWidth="1"/>
    <col min="2319" max="2319" width="3.33203125" style="211" customWidth="1"/>
    <col min="2320" max="2320" width="0" style="211" hidden="1" customWidth="1"/>
    <col min="2321" max="2321" width="10.53125" style="211" bestFit="1" customWidth="1"/>
    <col min="2322" max="2322" width="28.53125" style="211" bestFit="1" customWidth="1"/>
    <col min="2323" max="2560" width="11.46484375" style="211"/>
    <col min="2561" max="2561" width="43.33203125" style="211" customWidth="1"/>
    <col min="2562" max="2562" width="8.6640625" style="211" bestFit="1" customWidth="1"/>
    <col min="2563" max="2563" width="48.46484375" style="211" bestFit="1" customWidth="1"/>
    <col min="2564" max="2564" width="14.6640625" style="211" bestFit="1" customWidth="1"/>
    <col min="2565" max="2568" width="3.46484375" style="211" bestFit="1" customWidth="1"/>
    <col min="2569" max="2570" width="2.33203125" style="211" bestFit="1" customWidth="1"/>
    <col min="2571" max="2571" width="2.6640625" style="211" bestFit="1" customWidth="1"/>
    <col min="2572" max="2572" width="2.33203125" style="211" bestFit="1" customWidth="1"/>
    <col min="2573" max="2574" width="3.46484375" style="211" bestFit="1" customWidth="1"/>
    <col min="2575" max="2575" width="3.33203125" style="211" customWidth="1"/>
    <col min="2576" max="2576" width="0" style="211" hidden="1" customWidth="1"/>
    <col min="2577" max="2577" width="10.53125" style="211" bestFit="1" customWidth="1"/>
    <col min="2578" max="2578" width="28.53125" style="211" bestFit="1" customWidth="1"/>
    <col min="2579" max="2816" width="11.46484375" style="211"/>
    <col min="2817" max="2817" width="43.33203125" style="211" customWidth="1"/>
    <col min="2818" max="2818" width="8.6640625" style="211" bestFit="1" customWidth="1"/>
    <col min="2819" max="2819" width="48.46484375" style="211" bestFit="1" customWidth="1"/>
    <col min="2820" max="2820" width="14.6640625" style="211" bestFit="1" customWidth="1"/>
    <col min="2821" max="2824" width="3.46484375" style="211" bestFit="1" customWidth="1"/>
    <col min="2825" max="2826" width="2.33203125" style="211" bestFit="1" customWidth="1"/>
    <col min="2827" max="2827" width="2.6640625" style="211" bestFit="1" customWidth="1"/>
    <col min="2828" max="2828" width="2.33203125" style="211" bestFit="1" customWidth="1"/>
    <col min="2829" max="2830" width="3.46484375" style="211" bestFit="1" customWidth="1"/>
    <col min="2831" max="2831" width="3.33203125" style="211" customWidth="1"/>
    <col min="2832" max="2832" width="0" style="211" hidden="1" customWidth="1"/>
    <col min="2833" max="2833" width="10.53125" style="211" bestFit="1" customWidth="1"/>
    <col min="2834" max="2834" width="28.53125" style="211" bestFit="1" customWidth="1"/>
    <col min="2835" max="3072" width="11.46484375" style="211"/>
    <col min="3073" max="3073" width="43.33203125" style="211" customWidth="1"/>
    <col min="3074" max="3074" width="8.6640625" style="211" bestFit="1" customWidth="1"/>
    <col min="3075" max="3075" width="48.46484375" style="211" bestFit="1" customWidth="1"/>
    <col min="3076" max="3076" width="14.6640625" style="211" bestFit="1" customWidth="1"/>
    <col min="3077" max="3080" width="3.46484375" style="211" bestFit="1" customWidth="1"/>
    <col min="3081" max="3082" width="2.33203125" style="211" bestFit="1" customWidth="1"/>
    <col min="3083" max="3083" width="2.6640625" style="211" bestFit="1" customWidth="1"/>
    <col min="3084" max="3084" width="2.33203125" style="211" bestFit="1" customWidth="1"/>
    <col min="3085" max="3086" width="3.46484375" style="211" bestFit="1" customWidth="1"/>
    <col min="3087" max="3087" width="3.33203125" style="211" customWidth="1"/>
    <col min="3088" max="3088" width="0" style="211" hidden="1" customWidth="1"/>
    <col min="3089" max="3089" width="10.53125" style="211" bestFit="1" customWidth="1"/>
    <col min="3090" max="3090" width="28.53125" style="211" bestFit="1" customWidth="1"/>
    <col min="3091" max="3328" width="11.46484375" style="211"/>
    <col min="3329" max="3329" width="43.33203125" style="211" customWidth="1"/>
    <col min="3330" max="3330" width="8.6640625" style="211" bestFit="1" customWidth="1"/>
    <col min="3331" max="3331" width="48.46484375" style="211" bestFit="1" customWidth="1"/>
    <col min="3332" max="3332" width="14.6640625" style="211" bestFit="1" customWidth="1"/>
    <col min="3333" max="3336" width="3.46484375" style="211" bestFit="1" customWidth="1"/>
    <col min="3337" max="3338" width="2.33203125" style="211" bestFit="1" customWidth="1"/>
    <col min="3339" max="3339" width="2.6640625" style="211" bestFit="1" customWidth="1"/>
    <col min="3340" max="3340" width="2.33203125" style="211" bestFit="1" customWidth="1"/>
    <col min="3341" max="3342" width="3.46484375" style="211" bestFit="1" customWidth="1"/>
    <col min="3343" max="3343" width="3.33203125" style="211" customWidth="1"/>
    <col min="3344" max="3344" width="0" style="211" hidden="1" customWidth="1"/>
    <col min="3345" max="3345" width="10.53125" style="211" bestFit="1" customWidth="1"/>
    <col min="3346" max="3346" width="28.53125" style="211" bestFit="1" customWidth="1"/>
    <col min="3347" max="3584" width="11.46484375" style="211"/>
    <col min="3585" max="3585" width="43.33203125" style="211" customWidth="1"/>
    <col min="3586" max="3586" width="8.6640625" style="211" bestFit="1" customWidth="1"/>
    <col min="3587" max="3587" width="48.46484375" style="211" bestFit="1" customWidth="1"/>
    <col min="3588" max="3588" width="14.6640625" style="211" bestFit="1" customWidth="1"/>
    <col min="3589" max="3592" width="3.46484375" style="211" bestFit="1" customWidth="1"/>
    <col min="3593" max="3594" width="2.33203125" style="211" bestFit="1" customWidth="1"/>
    <col min="3595" max="3595" width="2.6640625" style="211" bestFit="1" customWidth="1"/>
    <col min="3596" max="3596" width="2.33203125" style="211" bestFit="1" customWidth="1"/>
    <col min="3597" max="3598" width="3.46484375" style="211" bestFit="1" customWidth="1"/>
    <col min="3599" max="3599" width="3.33203125" style="211" customWidth="1"/>
    <col min="3600" max="3600" width="0" style="211" hidden="1" customWidth="1"/>
    <col min="3601" max="3601" width="10.53125" style="211" bestFit="1" customWidth="1"/>
    <col min="3602" max="3602" width="28.53125" style="211" bestFit="1" customWidth="1"/>
    <col min="3603" max="3840" width="11.46484375" style="211"/>
    <col min="3841" max="3841" width="43.33203125" style="211" customWidth="1"/>
    <col min="3842" max="3842" width="8.6640625" style="211" bestFit="1" customWidth="1"/>
    <col min="3843" max="3843" width="48.46484375" style="211" bestFit="1" customWidth="1"/>
    <col min="3844" max="3844" width="14.6640625" style="211" bestFit="1" customWidth="1"/>
    <col min="3845" max="3848" width="3.46484375" style="211" bestFit="1" customWidth="1"/>
    <col min="3849" max="3850" width="2.33203125" style="211" bestFit="1" customWidth="1"/>
    <col min="3851" max="3851" width="2.6640625" style="211" bestFit="1" customWidth="1"/>
    <col min="3852" max="3852" width="2.33203125" style="211" bestFit="1" customWidth="1"/>
    <col min="3853" max="3854" width="3.46484375" style="211" bestFit="1" customWidth="1"/>
    <col min="3855" max="3855" width="3.33203125" style="211" customWidth="1"/>
    <col min="3856" max="3856" width="0" style="211" hidden="1" customWidth="1"/>
    <col min="3857" max="3857" width="10.53125" style="211" bestFit="1" customWidth="1"/>
    <col min="3858" max="3858" width="28.53125" style="211" bestFit="1" customWidth="1"/>
    <col min="3859" max="4096" width="11.46484375" style="211"/>
    <col min="4097" max="4097" width="43.33203125" style="211" customWidth="1"/>
    <col min="4098" max="4098" width="8.6640625" style="211" bestFit="1" customWidth="1"/>
    <col min="4099" max="4099" width="48.46484375" style="211" bestFit="1" customWidth="1"/>
    <col min="4100" max="4100" width="14.6640625" style="211" bestFit="1" customWidth="1"/>
    <col min="4101" max="4104" width="3.46484375" style="211" bestFit="1" customWidth="1"/>
    <col min="4105" max="4106" width="2.33203125" style="211" bestFit="1" customWidth="1"/>
    <col min="4107" max="4107" width="2.6640625" style="211" bestFit="1" customWidth="1"/>
    <col min="4108" max="4108" width="2.33203125" style="211" bestFit="1" customWidth="1"/>
    <col min="4109" max="4110" width="3.46484375" style="211" bestFit="1" customWidth="1"/>
    <col min="4111" max="4111" width="3.33203125" style="211" customWidth="1"/>
    <col min="4112" max="4112" width="0" style="211" hidden="1" customWidth="1"/>
    <col min="4113" max="4113" width="10.53125" style="211" bestFit="1" customWidth="1"/>
    <col min="4114" max="4114" width="28.53125" style="211" bestFit="1" customWidth="1"/>
    <col min="4115" max="4352" width="11.46484375" style="211"/>
    <col min="4353" max="4353" width="43.33203125" style="211" customWidth="1"/>
    <col min="4354" max="4354" width="8.6640625" style="211" bestFit="1" customWidth="1"/>
    <col min="4355" max="4355" width="48.46484375" style="211" bestFit="1" customWidth="1"/>
    <col min="4356" max="4356" width="14.6640625" style="211" bestFit="1" customWidth="1"/>
    <col min="4357" max="4360" width="3.46484375" style="211" bestFit="1" customWidth="1"/>
    <col min="4361" max="4362" width="2.33203125" style="211" bestFit="1" customWidth="1"/>
    <col min="4363" max="4363" width="2.6640625" style="211" bestFit="1" customWidth="1"/>
    <col min="4364" max="4364" width="2.33203125" style="211" bestFit="1" customWidth="1"/>
    <col min="4365" max="4366" width="3.46484375" style="211" bestFit="1" customWidth="1"/>
    <col min="4367" max="4367" width="3.33203125" style="211" customWidth="1"/>
    <col min="4368" max="4368" width="0" style="211" hidden="1" customWidth="1"/>
    <col min="4369" max="4369" width="10.53125" style="211" bestFit="1" customWidth="1"/>
    <col min="4370" max="4370" width="28.53125" style="211" bestFit="1" customWidth="1"/>
    <col min="4371" max="4608" width="11.46484375" style="211"/>
    <col min="4609" max="4609" width="43.33203125" style="211" customWidth="1"/>
    <col min="4610" max="4610" width="8.6640625" style="211" bestFit="1" customWidth="1"/>
    <col min="4611" max="4611" width="48.46484375" style="211" bestFit="1" customWidth="1"/>
    <col min="4612" max="4612" width="14.6640625" style="211" bestFit="1" customWidth="1"/>
    <col min="4613" max="4616" width="3.46484375" style="211" bestFit="1" customWidth="1"/>
    <col min="4617" max="4618" width="2.33203125" style="211" bestFit="1" customWidth="1"/>
    <col min="4619" max="4619" width="2.6640625" style="211" bestFit="1" customWidth="1"/>
    <col min="4620" max="4620" width="2.33203125" style="211" bestFit="1" customWidth="1"/>
    <col min="4621" max="4622" width="3.46484375" style="211" bestFit="1" customWidth="1"/>
    <col min="4623" max="4623" width="3.33203125" style="211" customWidth="1"/>
    <col min="4624" max="4624" width="0" style="211" hidden="1" customWidth="1"/>
    <col min="4625" max="4625" width="10.53125" style="211" bestFit="1" customWidth="1"/>
    <col min="4626" max="4626" width="28.53125" style="211" bestFit="1" customWidth="1"/>
    <col min="4627" max="4864" width="11.46484375" style="211"/>
    <col min="4865" max="4865" width="43.33203125" style="211" customWidth="1"/>
    <col min="4866" max="4866" width="8.6640625" style="211" bestFit="1" customWidth="1"/>
    <col min="4867" max="4867" width="48.46484375" style="211" bestFit="1" customWidth="1"/>
    <col min="4868" max="4868" width="14.6640625" style="211" bestFit="1" customWidth="1"/>
    <col min="4869" max="4872" width="3.46484375" style="211" bestFit="1" customWidth="1"/>
    <col min="4873" max="4874" width="2.33203125" style="211" bestFit="1" customWidth="1"/>
    <col min="4875" max="4875" width="2.6640625" style="211" bestFit="1" customWidth="1"/>
    <col min="4876" max="4876" width="2.33203125" style="211" bestFit="1" customWidth="1"/>
    <col min="4877" max="4878" width="3.46484375" style="211" bestFit="1" customWidth="1"/>
    <col min="4879" max="4879" width="3.33203125" style="211" customWidth="1"/>
    <col min="4880" max="4880" width="0" style="211" hidden="1" customWidth="1"/>
    <col min="4881" max="4881" width="10.53125" style="211" bestFit="1" customWidth="1"/>
    <col min="4882" max="4882" width="28.53125" style="211" bestFit="1" customWidth="1"/>
    <col min="4883" max="5120" width="11.46484375" style="211"/>
    <col min="5121" max="5121" width="43.33203125" style="211" customWidth="1"/>
    <col min="5122" max="5122" width="8.6640625" style="211" bestFit="1" customWidth="1"/>
    <col min="5123" max="5123" width="48.46484375" style="211" bestFit="1" customWidth="1"/>
    <col min="5124" max="5124" width="14.6640625" style="211" bestFit="1" customWidth="1"/>
    <col min="5125" max="5128" width="3.46484375" style="211" bestFit="1" customWidth="1"/>
    <col min="5129" max="5130" width="2.33203125" style="211" bestFit="1" customWidth="1"/>
    <col min="5131" max="5131" width="2.6640625" style="211" bestFit="1" customWidth="1"/>
    <col min="5132" max="5132" width="2.33203125" style="211" bestFit="1" customWidth="1"/>
    <col min="5133" max="5134" width="3.46484375" style="211" bestFit="1" customWidth="1"/>
    <col min="5135" max="5135" width="3.33203125" style="211" customWidth="1"/>
    <col min="5136" max="5136" width="0" style="211" hidden="1" customWidth="1"/>
    <col min="5137" max="5137" width="10.53125" style="211" bestFit="1" customWidth="1"/>
    <col min="5138" max="5138" width="28.53125" style="211" bestFit="1" customWidth="1"/>
    <col min="5139" max="5376" width="11.46484375" style="211"/>
    <col min="5377" max="5377" width="43.33203125" style="211" customWidth="1"/>
    <col min="5378" max="5378" width="8.6640625" style="211" bestFit="1" customWidth="1"/>
    <col min="5379" max="5379" width="48.46484375" style="211" bestFit="1" customWidth="1"/>
    <col min="5380" max="5380" width="14.6640625" style="211" bestFit="1" customWidth="1"/>
    <col min="5381" max="5384" width="3.46484375" style="211" bestFit="1" customWidth="1"/>
    <col min="5385" max="5386" width="2.33203125" style="211" bestFit="1" customWidth="1"/>
    <col min="5387" max="5387" width="2.6640625" style="211" bestFit="1" customWidth="1"/>
    <col min="5388" max="5388" width="2.33203125" style="211" bestFit="1" customWidth="1"/>
    <col min="5389" max="5390" width="3.46484375" style="211" bestFit="1" customWidth="1"/>
    <col min="5391" max="5391" width="3.33203125" style="211" customWidth="1"/>
    <col min="5392" max="5392" width="0" style="211" hidden="1" customWidth="1"/>
    <col min="5393" max="5393" width="10.53125" style="211" bestFit="1" customWidth="1"/>
    <col min="5394" max="5394" width="28.53125" style="211" bestFit="1" customWidth="1"/>
    <col min="5395" max="5632" width="11.46484375" style="211"/>
    <col min="5633" max="5633" width="43.33203125" style="211" customWidth="1"/>
    <col min="5634" max="5634" width="8.6640625" style="211" bestFit="1" customWidth="1"/>
    <col min="5635" max="5635" width="48.46484375" style="211" bestFit="1" customWidth="1"/>
    <col min="5636" max="5636" width="14.6640625" style="211" bestFit="1" customWidth="1"/>
    <col min="5637" max="5640" width="3.46484375" style="211" bestFit="1" customWidth="1"/>
    <col min="5641" max="5642" width="2.33203125" style="211" bestFit="1" customWidth="1"/>
    <col min="5643" max="5643" width="2.6640625" style="211" bestFit="1" customWidth="1"/>
    <col min="5644" max="5644" width="2.33203125" style="211" bestFit="1" customWidth="1"/>
    <col min="5645" max="5646" width="3.46484375" style="211" bestFit="1" customWidth="1"/>
    <col min="5647" max="5647" width="3.33203125" style="211" customWidth="1"/>
    <col min="5648" max="5648" width="0" style="211" hidden="1" customWidth="1"/>
    <col min="5649" max="5649" width="10.53125" style="211" bestFit="1" customWidth="1"/>
    <col min="5650" max="5650" width="28.53125" style="211" bestFit="1" customWidth="1"/>
    <col min="5651" max="5888" width="11.46484375" style="211"/>
    <col min="5889" max="5889" width="43.33203125" style="211" customWidth="1"/>
    <col min="5890" max="5890" width="8.6640625" style="211" bestFit="1" customWidth="1"/>
    <col min="5891" max="5891" width="48.46484375" style="211" bestFit="1" customWidth="1"/>
    <col min="5892" max="5892" width="14.6640625" style="211" bestFit="1" customWidth="1"/>
    <col min="5893" max="5896" width="3.46484375" style="211" bestFit="1" customWidth="1"/>
    <col min="5897" max="5898" width="2.33203125" style="211" bestFit="1" customWidth="1"/>
    <col min="5899" max="5899" width="2.6640625" style="211" bestFit="1" customWidth="1"/>
    <col min="5900" max="5900" width="2.33203125" style="211" bestFit="1" customWidth="1"/>
    <col min="5901" max="5902" width="3.46484375" style="211" bestFit="1" customWidth="1"/>
    <col min="5903" max="5903" width="3.33203125" style="211" customWidth="1"/>
    <col min="5904" max="5904" width="0" style="211" hidden="1" customWidth="1"/>
    <col min="5905" max="5905" width="10.53125" style="211" bestFit="1" customWidth="1"/>
    <col min="5906" max="5906" width="28.53125" style="211" bestFit="1" customWidth="1"/>
    <col min="5907" max="6144" width="11.46484375" style="211"/>
    <col min="6145" max="6145" width="43.33203125" style="211" customWidth="1"/>
    <col min="6146" max="6146" width="8.6640625" style="211" bestFit="1" customWidth="1"/>
    <col min="6147" max="6147" width="48.46484375" style="211" bestFit="1" customWidth="1"/>
    <col min="6148" max="6148" width="14.6640625" style="211" bestFit="1" customWidth="1"/>
    <col min="6149" max="6152" width="3.46484375" style="211" bestFit="1" customWidth="1"/>
    <col min="6153" max="6154" width="2.33203125" style="211" bestFit="1" customWidth="1"/>
    <col min="6155" max="6155" width="2.6640625" style="211" bestFit="1" customWidth="1"/>
    <col min="6156" max="6156" width="2.33203125" style="211" bestFit="1" customWidth="1"/>
    <col min="6157" max="6158" width="3.46484375" style="211" bestFit="1" customWidth="1"/>
    <col min="6159" max="6159" width="3.33203125" style="211" customWidth="1"/>
    <col min="6160" max="6160" width="0" style="211" hidden="1" customWidth="1"/>
    <col min="6161" max="6161" width="10.53125" style="211" bestFit="1" customWidth="1"/>
    <col min="6162" max="6162" width="28.53125" style="211" bestFit="1" customWidth="1"/>
    <col min="6163" max="6400" width="11.46484375" style="211"/>
    <col min="6401" max="6401" width="43.33203125" style="211" customWidth="1"/>
    <col min="6402" max="6402" width="8.6640625" style="211" bestFit="1" customWidth="1"/>
    <col min="6403" max="6403" width="48.46484375" style="211" bestFit="1" customWidth="1"/>
    <col min="6404" max="6404" width="14.6640625" style="211" bestFit="1" customWidth="1"/>
    <col min="6405" max="6408" width="3.46484375" style="211" bestFit="1" customWidth="1"/>
    <col min="6409" max="6410" width="2.33203125" style="211" bestFit="1" customWidth="1"/>
    <col min="6411" max="6411" width="2.6640625" style="211" bestFit="1" customWidth="1"/>
    <col min="6412" max="6412" width="2.33203125" style="211" bestFit="1" customWidth="1"/>
    <col min="6413" max="6414" width="3.46484375" style="211" bestFit="1" customWidth="1"/>
    <col min="6415" max="6415" width="3.33203125" style="211" customWidth="1"/>
    <col min="6416" max="6416" width="0" style="211" hidden="1" customWidth="1"/>
    <col min="6417" max="6417" width="10.53125" style="211" bestFit="1" customWidth="1"/>
    <col min="6418" max="6418" width="28.53125" style="211" bestFit="1" customWidth="1"/>
    <col min="6419" max="6656" width="11.46484375" style="211"/>
    <col min="6657" max="6657" width="43.33203125" style="211" customWidth="1"/>
    <col min="6658" max="6658" width="8.6640625" style="211" bestFit="1" customWidth="1"/>
    <col min="6659" max="6659" width="48.46484375" style="211" bestFit="1" customWidth="1"/>
    <col min="6660" max="6660" width="14.6640625" style="211" bestFit="1" customWidth="1"/>
    <col min="6661" max="6664" width="3.46484375" style="211" bestFit="1" customWidth="1"/>
    <col min="6665" max="6666" width="2.33203125" style="211" bestFit="1" customWidth="1"/>
    <col min="6667" max="6667" width="2.6640625" style="211" bestFit="1" customWidth="1"/>
    <col min="6668" max="6668" width="2.33203125" style="211" bestFit="1" customWidth="1"/>
    <col min="6669" max="6670" width="3.46484375" style="211" bestFit="1" customWidth="1"/>
    <col min="6671" max="6671" width="3.33203125" style="211" customWidth="1"/>
    <col min="6672" max="6672" width="0" style="211" hidden="1" customWidth="1"/>
    <col min="6673" max="6673" width="10.53125" style="211" bestFit="1" customWidth="1"/>
    <col min="6674" max="6674" width="28.53125" style="211" bestFit="1" customWidth="1"/>
    <col min="6675" max="6912" width="11.46484375" style="211"/>
    <col min="6913" max="6913" width="43.33203125" style="211" customWidth="1"/>
    <col min="6914" max="6914" width="8.6640625" style="211" bestFit="1" customWidth="1"/>
    <col min="6915" max="6915" width="48.46484375" style="211" bestFit="1" customWidth="1"/>
    <col min="6916" max="6916" width="14.6640625" style="211" bestFit="1" customWidth="1"/>
    <col min="6917" max="6920" width="3.46484375" style="211" bestFit="1" customWidth="1"/>
    <col min="6921" max="6922" width="2.33203125" style="211" bestFit="1" customWidth="1"/>
    <col min="6923" max="6923" width="2.6640625" style="211" bestFit="1" customWidth="1"/>
    <col min="6924" max="6924" width="2.33203125" style="211" bestFit="1" customWidth="1"/>
    <col min="6925" max="6926" width="3.46484375" style="211" bestFit="1" customWidth="1"/>
    <col min="6927" max="6927" width="3.33203125" style="211" customWidth="1"/>
    <col min="6928" max="6928" width="0" style="211" hidden="1" customWidth="1"/>
    <col min="6929" max="6929" width="10.53125" style="211" bestFit="1" customWidth="1"/>
    <col min="6930" max="6930" width="28.53125" style="211" bestFit="1" customWidth="1"/>
    <col min="6931" max="7168" width="11.46484375" style="211"/>
    <col min="7169" max="7169" width="43.33203125" style="211" customWidth="1"/>
    <col min="7170" max="7170" width="8.6640625" style="211" bestFit="1" customWidth="1"/>
    <col min="7171" max="7171" width="48.46484375" style="211" bestFit="1" customWidth="1"/>
    <col min="7172" max="7172" width="14.6640625" style="211" bestFit="1" customWidth="1"/>
    <col min="7173" max="7176" width="3.46484375" style="211" bestFit="1" customWidth="1"/>
    <col min="7177" max="7178" width="2.33203125" style="211" bestFit="1" customWidth="1"/>
    <col min="7179" max="7179" width="2.6640625" style="211" bestFit="1" customWidth="1"/>
    <col min="7180" max="7180" width="2.33203125" style="211" bestFit="1" customWidth="1"/>
    <col min="7181" max="7182" width="3.46484375" style="211" bestFit="1" customWidth="1"/>
    <col min="7183" max="7183" width="3.33203125" style="211" customWidth="1"/>
    <col min="7184" max="7184" width="0" style="211" hidden="1" customWidth="1"/>
    <col min="7185" max="7185" width="10.53125" style="211" bestFit="1" customWidth="1"/>
    <col min="7186" max="7186" width="28.53125" style="211" bestFit="1" customWidth="1"/>
    <col min="7187" max="7424" width="11.46484375" style="211"/>
    <col min="7425" max="7425" width="43.33203125" style="211" customWidth="1"/>
    <col min="7426" max="7426" width="8.6640625" style="211" bestFit="1" customWidth="1"/>
    <col min="7427" max="7427" width="48.46484375" style="211" bestFit="1" customWidth="1"/>
    <col min="7428" max="7428" width="14.6640625" style="211" bestFit="1" customWidth="1"/>
    <col min="7429" max="7432" width="3.46484375" style="211" bestFit="1" customWidth="1"/>
    <col min="7433" max="7434" width="2.33203125" style="211" bestFit="1" customWidth="1"/>
    <col min="7435" max="7435" width="2.6640625" style="211" bestFit="1" customWidth="1"/>
    <col min="7436" max="7436" width="2.33203125" style="211" bestFit="1" customWidth="1"/>
    <col min="7437" max="7438" width="3.46484375" style="211" bestFit="1" customWidth="1"/>
    <col min="7439" max="7439" width="3.33203125" style="211" customWidth="1"/>
    <col min="7440" max="7440" width="0" style="211" hidden="1" customWidth="1"/>
    <col min="7441" max="7441" width="10.53125" style="211" bestFit="1" customWidth="1"/>
    <col min="7442" max="7442" width="28.53125" style="211" bestFit="1" customWidth="1"/>
    <col min="7443" max="7680" width="11.46484375" style="211"/>
    <col min="7681" max="7681" width="43.33203125" style="211" customWidth="1"/>
    <col min="7682" max="7682" width="8.6640625" style="211" bestFit="1" customWidth="1"/>
    <col min="7683" max="7683" width="48.46484375" style="211" bestFit="1" customWidth="1"/>
    <col min="7684" max="7684" width="14.6640625" style="211" bestFit="1" customWidth="1"/>
    <col min="7685" max="7688" width="3.46484375" style="211" bestFit="1" customWidth="1"/>
    <col min="7689" max="7690" width="2.33203125" style="211" bestFit="1" customWidth="1"/>
    <col min="7691" max="7691" width="2.6640625" style="211" bestFit="1" customWidth="1"/>
    <col min="7692" max="7692" width="2.33203125" style="211" bestFit="1" customWidth="1"/>
    <col min="7693" max="7694" width="3.46484375" style="211" bestFit="1" customWidth="1"/>
    <col min="7695" max="7695" width="3.33203125" style="211" customWidth="1"/>
    <col min="7696" max="7696" width="0" style="211" hidden="1" customWidth="1"/>
    <col min="7697" max="7697" width="10.53125" style="211" bestFit="1" customWidth="1"/>
    <col min="7698" max="7698" width="28.53125" style="211" bestFit="1" customWidth="1"/>
    <col min="7699" max="7936" width="11.46484375" style="211"/>
    <col min="7937" max="7937" width="43.33203125" style="211" customWidth="1"/>
    <col min="7938" max="7938" width="8.6640625" style="211" bestFit="1" customWidth="1"/>
    <col min="7939" max="7939" width="48.46484375" style="211" bestFit="1" customWidth="1"/>
    <col min="7940" max="7940" width="14.6640625" style="211" bestFit="1" customWidth="1"/>
    <col min="7941" max="7944" width="3.46484375" style="211" bestFit="1" customWidth="1"/>
    <col min="7945" max="7946" width="2.33203125" style="211" bestFit="1" customWidth="1"/>
    <col min="7947" max="7947" width="2.6640625" style="211" bestFit="1" customWidth="1"/>
    <col min="7948" max="7948" width="2.33203125" style="211" bestFit="1" customWidth="1"/>
    <col min="7949" max="7950" width="3.46484375" style="211" bestFit="1" customWidth="1"/>
    <col min="7951" max="7951" width="3.33203125" style="211" customWidth="1"/>
    <col min="7952" max="7952" width="0" style="211" hidden="1" customWidth="1"/>
    <col min="7953" max="7953" width="10.53125" style="211" bestFit="1" customWidth="1"/>
    <col min="7954" max="7954" width="28.53125" style="211" bestFit="1" customWidth="1"/>
    <col min="7955" max="8192" width="11.46484375" style="211"/>
    <col min="8193" max="8193" width="43.33203125" style="211" customWidth="1"/>
    <col min="8194" max="8194" width="8.6640625" style="211" bestFit="1" customWidth="1"/>
    <col min="8195" max="8195" width="48.46484375" style="211" bestFit="1" customWidth="1"/>
    <col min="8196" max="8196" width="14.6640625" style="211" bestFit="1" customWidth="1"/>
    <col min="8197" max="8200" width="3.46484375" style="211" bestFit="1" customWidth="1"/>
    <col min="8201" max="8202" width="2.33203125" style="211" bestFit="1" customWidth="1"/>
    <col min="8203" max="8203" width="2.6640625" style="211" bestFit="1" customWidth="1"/>
    <col min="8204" max="8204" width="2.33203125" style="211" bestFit="1" customWidth="1"/>
    <col min="8205" max="8206" width="3.46484375" style="211" bestFit="1" customWidth="1"/>
    <col min="8207" max="8207" width="3.33203125" style="211" customWidth="1"/>
    <col min="8208" max="8208" width="0" style="211" hidden="1" customWidth="1"/>
    <col min="8209" max="8209" width="10.53125" style="211" bestFit="1" customWidth="1"/>
    <col min="8210" max="8210" width="28.53125" style="211" bestFit="1" customWidth="1"/>
    <col min="8211" max="8448" width="11.46484375" style="211"/>
    <col min="8449" max="8449" width="43.33203125" style="211" customWidth="1"/>
    <col min="8450" max="8450" width="8.6640625" style="211" bestFit="1" customWidth="1"/>
    <col min="8451" max="8451" width="48.46484375" style="211" bestFit="1" customWidth="1"/>
    <col min="8452" max="8452" width="14.6640625" style="211" bestFit="1" customWidth="1"/>
    <col min="8453" max="8456" width="3.46484375" style="211" bestFit="1" customWidth="1"/>
    <col min="8457" max="8458" width="2.33203125" style="211" bestFit="1" customWidth="1"/>
    <col min="8459" max="8459" width="2.6640625" style="211" bestFit="1" customWidth="1"/>
    <col min="8460" max="8460" width="2.33203125" style="211" bestFit="1" customWidth="1"/>
    <col min="8461" max="8462" width="3.46484375" style="211" bestFit="1" customWidth="1"/>
    <col min="8463" max="8463" width="3.33203125" style="211" customWidth="1"/>
    <col min="8464" max="8464" width="0" style="211" hidden="1" customWidth="1"/>
    <col min="8465" max="8465" width="10.53125" style="211" bestFit="1" customWidth="1"/>
    <col min="8466" max="8466" width="28.53125" style="211" bestFit="1" customWidth="1"/>
    <col min="8467" max="8704" width="11.46484375" style="211"/>
    <col min="8705" max="8705" width="43.33203125" style="211" customWidth="1"/>
    <col min="8706" max="8706" width="8.6640625" style="211" bestFit="1" customWidth="1"/>
    <col min="8707" max="8707" width="48.46484375" style="211" bestFit="1" customWidth="1"/>
    <col min="8708" max="8708" width="14.6640625" style="211" bestFit="1" customWidth="1"/>
    <col min="8709" max="8712" width="3.46484375" style="211" bestFit="1" customWidth="1"/>
    <col min="8713" max="8714" width="2.33203125" style="211" bestFit="1" customWidth="1"/>
    <col min="8715" max="8715" width="2.6640625" style="211" bestFit="1" customWidth="1"/>
    <col min="8716" max="8716" width="2.33203125" style="211" bestFit="1" customWidth="1"/>
    <col min="8717" max="8718" width="3.46484375" style="211" bestFit="1" customWidth="1"/>
    <col min="8719" max="8719" width="3.33203125" style="211" customWidth="1"/>
    <col min="8720" max="8720" width="0" style="211" hidden="1" customWidth="1"/>
    <col min="8721" max="8721" width="10.53125" style="211" bestFit="1" customWidth="1"/>
    <col min="8722" max="8722" width="28.53125" style="211" bestFit="1" customWidth="1"/>
    <col min="8723" max="8960" width="11.46484375" style="211"/>
    <col min="8961" max="8961" width="43.33203125" style="211" customWidth="1"/>
    <col min="8962" max="8962" width="8.6640625" style="211" bestFit="1" customWidth="1"/>
    <col min="8963" max="8963" width="48.46484375" style="211" bestFit="1" customWidth="1"/>
    <col min="8964" max="8964" width="14.6640625" style="211" bestFit="1" customWidth="1"/>
    <col min="8965" max="8968" width="3.46484375" style="211" bestFit="1" customWidth="1"/>
    <col min="8969" max="8970" width="2.33203125" style="211" bestFit="1" customWidth="1"/>
    <col min="8971" max="8971" width="2.6640625" style="211" bestFit="1" customWidth="1"/>
    <col min="8972" max="8972" width="2.33203125" style="211" bestFit="1" customWidth="1"/>
    <col min="8973" max="8974" width="3.46484375" style="211" bestFit="1" customWidth="1"/>
    <col min="8975" max="8975" width="3.33203125" style="211" customWidth="1"/>
    <col min="8976" max="8976" width="0" style="211" hidden="1" customWidth="1"/>
    <col min="8977" max="8977" width="10.53125" style="211" bestFit="1" customWidth="1"/>
    <col min="8978" max="8978" width="28.53125" style="211" bestFit="1" customWidth="1"/>
    <col min="8979" max="9216" width="11.46484375" style="211"/>
    <col min="9217" max="9217" width="43.33203125" style="211" customWidth="1"/>
    <col min="9218" max="9218" width="8.6640625" style="211" bestFit="1" customWidth="1"/>
    <col min="9219" max="9219" width="48.46484375" style="211" bestFit="1" customWidth="1"/>
    <col min="9220" max="9220" width="14.6640625" style="211" bestFit="1" customWidth="1"/>
    <col min="9221" max="9224" width="3.46484375" style="211" bestFit="1" customWidth="1"/>
    <col min="9225" max="9226" width="2.33203125" style="211" bestFit="1" customWidth="1"/>
    <col min="9227" max="9227" width="2.6640625" style="211" bestFit="1" customWidth="1"/>
    <col min="9228" max="9228" width="2.33203125" style="211" bestFit="1" customWidth="1"/>
    <col min="9229" max="9230" width="3.46484375" style="211" bestFit="1" customWidth="1"/>
    <col min="9231" max="9231" width="3.33203125" style="211" customWidth="1"/>
    <col min="9232" max="9232" width="0" style="211" hidden="1" customWidth="1"/>
    <col min="9233" max="9233" width="10.53125" style="211" bestFit="1" customWidth="1"/>
    <col min="9234" max="9234" width="28.53125" style="211" bestFit="1" customWidth="1"/>
    <col min="9235" max="9472" width="11.46484375" style="211"/>
    <col min="9473" max="9473" width="43.33203125" style="211" customWidth="1"/>
    <col min="9474" max="9474" width="8.6640625" style="211" bestFit="1" customWidth="1"/>
    <col min="9475" max="9475" width="48.46484375" style="211" bestFit="1" customWidth="1"/>
    <col min="9476" max="9476" width="14.6640625" style="211" bestFit="1" customWidth="1"/>
    <col min="9477" max="9480" width="3.46484375" style="211" bestFit="1" customWidth="1"/>
    <col min="9481" max="9482" width="2.33203125" style="211" bestFit="1" customWidth="1"/>
    <col min="9483" max="9483" width="2.6640625" style="211" bestFit="1" customWidth="1"/>
    <col min="9484" max="9484" width="2.33203125" style="211" bestFit="1" customWidth="1"/>
    <col min="9485" max="9486" width="3.46484375" style="211" bestFit="1" customWidth="1"/>
    <col min="9487" max="9487" width="3.33203125" style="211" customWidth="1"/>
    <col min="9488" max="9488" width="0" style="211" hidden="1" customWidth="1"/>
    <col min="9489" max="9489" width="10.53125" style="211" bestFit="1" customWidth="1"/>
    <col min="9490" max="9490" width="28.53125" style="211" bestFit="1" customWidth="1"/>
    <col min="9491" max="9728" width="11.46484375" style="211"/>
    <col min="9729" max="9729" width="43.33203125" style="211" customWidth="1"/>
    <col min="9730" max="9730" width="8.6640625" style="211" bestFit="1" customWidth="1"/>
    <col min="9731" max="9731" width="48.46484375" style="211" bestFit="1" customWidth="1"/>
    <col min="9732" max="9732" width="14.6640625" style="211" bestFit="1" customWidth="1"/>
    <col min="9733" max="9736" width="3.46484375" style="211" bestFit="1" customWidth="1"/>
    <col min="9737" max="9738" width="2.33203125" style="211" bestFit="1" customWidth="1"/>
    <col min="9739" max="9739" width="2.6640625" style="211" bestFit="1" customWidth="1"/>
    <col min="9740" max="9740" width="2.33203125" style="211" bestFit="1" customWidth="1"/>
    <col min="9741" max="9742" width="3.46484375" style="211" bestFit="1" customWidth="1"/>
    <col min="9743" max="9743" width="3.33203125" style="211" customWidth="1"/>
    <col min="9744" max="9744" width="0" style="211" hidden="1" customWidth="1"/>
    <col min="9745" max="9745" width="10.53125" style="211" bestFit="1" customWidth="1"/>
    <col min="9746" max="9746" width="28.53125" style="211" bestFit="1" customWidth="1"/>
    <col min="9747" max="9984" width="11.46484375" style="211"/>
    <col min="9985" max="9985" width="43.33203125" style="211" customWidth="1"/>
    <col min="9986" max="9986" width="8.6640625" style="211" bestFit="1" customWidth="1"/>
    <col min="9987" max="9987" width="48.46484375" style="211" bestFit="1" customWidth="1"/>
    <col min="9988" max="9988" width="14.6640625" style="211" bestFit="1" customWidth="1"/>
    <col min="9989" max="9992" width="3.46484375" style="211" bestFit="1" customWidth="1"/>
    <col min="9993" max="9994" width="2.33203125" style="211" bestFit="1" customWidth="1"/>
    <col min="9995" max="9995" width="2.6640625" style="211" bestFit="1" customWidth="1"/>
    <col min="9996" max="9996" width="2.33203125" style="211" bestFit="1" customWidth="1"/>
    <col min="9997" max="9998" width="3.46484375" style="211" bestFit="1" customWidth="1"/>
    <col min="9999" max="9999" width="3.33203125" style="211" customWidth="1"/>
    <col min="10000" max="10000" width="0" style="211" hidden="1" customWidth="1"/>
    <col min="10001" max="10001" width="10.53125" style="211" bestFit="1" customWidth="1"/>
    <col min="10002" max="10002" width="28.53125" style="211" bestFit="1" customWidth="1"/>
    <col min="10003" max="10240" width="11.46484375" style="211"/>
    <col min="10241" max="10241" width="43.33203125" style="211" customWidth="1"/>
    <col min="10242" max="10242" width="8.6640625" style="211" bestFit="1" customWidth="1"/>
    <col min="10243" max="10243" width="48.46484375" style="211" bestFit="1" customWidth="1"/>
    <col min="10244" max="10244" width="14.6640625" style="211" bestFit="1" customWidth="1"/>
    <col min="10245" max="10248" width="3.46484375" style="211" bestFit="1" customWidth="1"/>
    <col min="10249" max="10250" width="2.33203125" style="211" bestFit="1" customWidth="1"/>
    <col min="10251" max="10251" width="2.6640625" style="211" bestFit="1" customWidth="1"/>
    <col min="10252" max="10252" width="2.33203125" style="211" bestFit="1" customWidth="1"/>
    <col min="10253" max="10254" width="3.46484375" style="211" bestFit="1" customWidth="1"/>
    <col min="10255" max="10255" width="3.33203125" style="211" customWidth="1"/>
    <col min="10256" max="10256" width="0" style="211" hidden="1" customWidth="1"/>
    <col min="10257" max="10257" width="10.53125" style="211" bestFit="1" customWidth="1"/>
    <col min="10258" max="10258" width="28.53125" style="211" bestFit="1" customWidth="1"/>
    <col min="10259" max="10496" width="11.46484375" style="211"/>
    <col min="10497" max="10497" width="43.33203125" style="211" customWidth="1"/>
    <col min="10498" max="10498" width="8.6640625" style="211" bestFit="1" customWidth="1"/>
    <col min="10499" max="10499" width="48.46484375" style="211" bestFit="1" customWidth="1"/>
    <col min="10500" max="10500" width="14.6640625" style="211" bestFit="1" customWidth="1"/>
    <col min="10501" max="10504" width="3.46484375" style="211" bestFit="1" customWidth="1"/>
    <col min="10505" max="10506" width="2.33203125" style="211" bestFit="1" customWidth="1"/>
    <col min="10507" max="10507" width="2.6640625" style="211" bestFit="1" customWidth="1"/>
    <col min="10508" max="10508" width="2.33203125" style="211" bestFit="1" customWidth="1"/>
    <col min="10509" max="10510" width="3.46484375" style="211" bestFit="1" customWidth="1"/>
    <col min="10511" max="10511" width="3.33203125" style="211" customWidth="1"/>
    <col min="10512" max="10512" width="0" style="211" hidden="1" customWidth="1"/>
    <col min="10513" max="10513" width="10.53125" style="211" bestFit="1" customWidth="1"/>
    <col min="10514" max="10514" width="28.53125" style="211" bestFit="1" customWidth="1"/>
    <col min="10515" max="10752" width="11.46484375" style="211"/>
    <col min="10753" max="10753" width="43.33203125" style="211" customWidth="1"/>
    <col min="10754" max="10754" width="8.6640625" style="211" bestFit="1" customWidth="1"/>
    <col min="10755" max="10755" width="48.46484375" style="211" bestFit="1" customWidth="1"/>
    <col min="10756" max="10756" width="14.6640625" style="211" bestFit="1" customWidth="1"/>
    <col min="10757" max="10760" width="3.46484375" style="211" bestFit="1" customWidth="1"/>
    <col min="10761" max="10762" width="2.33203125" style="211" bestFit="1" customWidth="1"/>
    <col min="10763" max="10763" width="2.6640625" style="211" bestFit="1" customWidth="1"/>
    <col min="10764" max="10764" width="2.33203125" style="211" bestFit="1" customWidth="1"/>
    <col min="10765" max="10766" width="3.46484375" style="211" bestFit="1" customWidth="1"/>
    <col min="10767" max="10767" width="3.33203125" style="211" customWidth="1"/>
    <col min="10768" max="10768" width="0" style="211" hidden="1" customWidth="1"/>
    <col min="10769" max="10769" width="10.53125" style="211" bestFit="1" customWidth="1"/>
    <col min="10770" max="10770" width="28.53125" style="211" bestFit="1" customWidth="1"/>
    <col min="10771" max="11008" width="11.46484375" style="211"/>
    <col min="11009" max="11009" width="43.33203125" style="211" customWidth="1"/>
    <col min="11010" max="11010" width="8.6640625" style="211" bestFit="1" customWidth="1"/>
    <col min="11011" max="11011" width="48.46484375" style="211" bestFit="1" customWidth="1"/>
    <col min="11012" max="11012" width="14.6640625" style="211" bestFit="1" customWidth="1"/>
    <col min="11013" max="11016" width="3.46484375" style="211" bestFit="1" customWidth="1"/>
    <col min="11017" max="11018" width="2.33203125" style="211" bestFit="1" customWidth="1"/>
    <col min="11019" max="11019" width="2.6640625" style="211" bestFit="1" customWidth="1"/>
    <col min="11020" max="11020" width="2.33203125" style="211" bestFit="1" customWidth="1"/>
    <col min="11021" max="11022" width="3.46484375" style="211" bestFit="1" customWidth="1"/>
    <col min="11023" max="11023" width="3.33203125" style="211" customWidth="1"/>
    <col min="11024" max="11024" width="0" style="211" hidden="1" customWidth="1"/>
    <col min="11025" max="11025" width="10.53125" style="211" bestFit="1" customWidth="1"/>
    <col min="11026" max="11026" width="28.53125" style="211" bestFit="1" customWidth="1"/>
    <col min="11027" max="11264" width="11.46484375" style="211"/>
    <col min="11265" max="11265" width="43.33203125" style="211" customWidth="1"/>
    <col min="11266" max="11266" width="8.6640625" style="211" bestFit="1" customWidth="1"/>
    <col min="11267" max="11267" width="48.46484375" style="211" bestFit="1" customWidth="1"/>
    <col min="11268" max="11268" width="14.6640625" style="211" bestFit="1" customWidth="1"/>
    <col min="11269" max="11272" width="3.46484375" style="211" bestFit="1" customWidth="1"/>
    <col min="11273" max="11274" width="2.33203125" style="211" bestFit="1" customWidth="1"/>
    <col min="11275" max="11275" width="2.6640625" style="211" bestFit="1" customWidth="1"/>
    <col min="11276" max="11276" width="2.33203125" style="211" bestFit="1" customWidth="1"/>
    <col min="11277" max="11278" width="3.46484375" style="211" bestFit="1" customWidth="1"/>
    <col min="11279" max="11279" width="3.33203125" style="211" customWidth="1"/>
    <col min="11280" max="11280" width="0" style="211" hidden="1" customWidth="1"/>
    <col min="11281" max="11281" width="10.53125" style="211" bestFit="1" customWidth="1"/>
    <col min="11282" max="11282" width="28.53125" style="211" bestFit="1" customWidth="1"/>
    <col min="11283" max="11520" width="11.46484375" style="211"/>
    <col min="11521" max="11521" width="43.33203125" style="211" customWidth="1"/>
    <col min="11522" max="11522" width="8.6640625" style="211" bestFit="1" customWidth="1"/>
    <col min="11523" max="11523" width="48.46484375" style="211" bestFit="1" customWidth="1"/>
    <col min="11524" max="11524" width="14.6640625" style="211" bestFit="1" customWidth="1"/>
    <col min="11525" max="11528" width="3.46484375" style="211" bestFit="1" customWidth="1"/>
    <col min="11529" max="11530" width="2.33203125" style="211" bestFit="1" customWidth="1"/>
    <col min="11531" max="11531" width="2.6640625" style="211" bestFit="1" customWidth="1"/>
    <col min="11532" max="11532" width="2.33203125" style="211" bestFit="1" customWidth="1"/>
    <col min="11533" max="11534" width="3.46484375" style="211" bestFit="1" customWidth="1"/>
    <col min="11535" max="11535" width="3.33203125" style="211" customWidth="1"/>
    <col min="11536" max="11536" width="0" style="211" hidden="1" customWidth="1"/>
    <col min="11537" max="11537" width="10.53125" style="211" bestFit="1" customWidth="1"/>
    <col min="11538" max="11538" width="28.53125" style="211" bestFit="1" customWidth="1"/>
    <col min="11539" max="11776" width="11.46484375" style="211"/>
    <col min="11777" max="11777" width="43.33203125" style="211" customWidth="1"/>
    <col min="11778" max="11778" width="8.6640625" style="211" bestFit="1" customWidth="1"/>
    <col min="11779" max="11779" width="48.46484375" style="211" bestFit="1" customWidth="1"/>
    <col min="11780" max="11780" width="14.6640625" style="211" bestFit="1" customWidth="1"/>
    <col min="11781" max="11784" width="3.46484375" style="211" bestFit="1" customWidth="1"/>
    <col min="11785" max="11786" width="2.33203125" style="211" bestFit="1" customWidth="1"/>
    <col min="11787" max="11787" width="2.6640625" style="211" bestFit="1" customWidth="1"/>
    <col min="11788" max="11788" width="2.33203125" style="211" bestFit="1" customWidth="1"/>
    <col min="11789" max="11790" width="3.46484375" style="211" bestFit="1" customWidth="1"/>
    <col min="11791" max="11791" width="3.33203125" style="211" customWidth="1"/>
    <col min="11792" max="11792" width="0" style="211" hidden="1" customWidth="1"/>
    <col min="11793" max="11793" width="10.53125" style="211" bestFit="1" customWidth="1"/>
    <col min="11794" max="11794" width="28.53125" style="211" bestFit="1" customWidth="1"/>
    <col min="11795" max="12032" width="11.46484375" style="211"/>
    <col min="12033" max="12033" width="43.33203125" style="211" customWidth="1"/>
    <col min="12034" max="12034" width="8.6640625" style="211" bestFit="1" customWidth="1"/>
    <col min="12035" max="12035" width="48.46484375" style="211" bestFit="1" customWidth="1"/>
    <col min="12036" max="12036" width="14.6640625" style="211" bestFit="1" customWidth="1"/>
    <col min="12037" max="12040" width="3.46484375" style="211" bestFit="1" customWidth="1"/>
    <col min="12041" max="12042" width="2.33203125" style="211" bestFit="1" customWidth="1"/>
    <col min="12043" max="12043" width="2.6640625" style="211" bestFit="1" customWidth="1"/>
    <col min="12044" max="12044" width="2.33203125" style="211" bestFit="1" customWidth="1"/>
    <col min="12045" max="12046" width="3.46484375" style="211" bestFit="1" customWidth="1"/>
    <col min="12047" max="12047" width="3.33203125" style="211" customWidth="1"/>
    <col min="12048" max="12048" width="0" style="211" hidden="1" customWidth="1"/>
    <col min="12049" max="12049" width="10.53125" style="211" bestFit="1" customWidth="1"/>
    <col min="12050" max="12050" width="28.53125" style="211" bestFit="1" customWidth="1"/>
    <col min="12051" max="12288" width="11.46484375" style="211"/>
    <col min="12289" max="12289" width="43.33203125" style="211" customWidth="1"/>
    <col min="12290" max="12290" width="8.6640625" style="211" bestFit="1" customWidth="1"/>
    <col min="12291" max="12291" width="48.46484375" style="211" bestFit="1" customWidth="1"/>
    <col min="12292" max="12292" width="14.6640625" style="211" bestFit="1" customWidth="1"/>
    <col min="12293" max="12296" width="3.46484375" style="211" bestFit="1" customWidth="1"/>
    <col min="12297" max="12298" width="2.33203125" style="211" bestFit="1" customWidth="1"/>
    <col min="12299" max="12299" width="2.6640625" style="211" bestFit="1" customWidth="1"/>
    <col min="12300" max="12300" width="2.33203125" style="211" bestFit="1" customWidth="1"/>
    <col min="12301" max="12302" width="3.46484375" style="211" bestFit="1" customWidth="1"/>
    <col min="12303" max="12303" width="3.33203125" style="211" customWidth="1"/>
    <col min="12304" max="12304" width="0" style="211" hidden="1" customWidth="1"/>
    <col min="12305" max="12305" width="10.53125" style="211" bestFit="1" customWidth="1"/>
    <col min="12306" max="12306" width="28.53125" style="211" bestFit="1" customWidth="1"/>
    <col min="12307" max="12544" width="11.46484375" style="211"/>
    <col min="12545" max="12545" width="43.33203125" style="211" customWidth="1"/>
    <col min="12546" max="12546" width="8.6640625" style="211" bestFit="1" customWidth="1"/>
    <col min="12547" max="12547" width="48.46484375" style="211" bestFit="1" customWidth="1"/>
    <col min="12548" max="12548" width="14.6640625" style="211" bestFit="1" customWidth="1"/>
    <col min="12549" max="12552" width="3.46484375" style="211" bestFit="1" customWidth="1"/>
    <col min="12553" max="12554" width="2.33203125" style="211" bestFit="1" customWidth="1"/>
    <col min="12555" max="12555" width="2.6640625" style="211" bestFit="1" customWidth="1"/>
    <col min="12556" max="12556" width="2.33203125" style="211" bestFit="1" customWidth="1"/>
    <col min="12557" max="12558" width="3.46484375" style="211" bestFit="1" customWidth="1"/>
    <col min="12559" max="12559" width="3.33203125" style="211" customWidth="1"/>
    <col min="12560" max="12560" width="0" style="211" hidden="1" customWidth="1"/>
    <col min="12561" max="12561" width="10.53125" style="211" bestFit="1" customWidth="1"/>
    <col min="12562" max="12562" width="28.53125" style="211" bestFit="1" customWidth="1"/>
    <col min="12563" max="12800" width="11.46484375" style="211"/>
    <col min="12801" max="12801" width="43.33203125" style="211" customWidth="1"/>
    <col min="12802" max="12802" width="8.6640625" style="211" bestFit="1" customWidth="1"/>
    <col min="12803" max="12803" width="48.46484375" style="211" bestFit="1" customWidth="1"/>
    <col min="12804" max="12804" width="14.6640625" style="211" bestFit="1" customWidth="1"/>
    <col min="12805" max="12808" width="3.46484375" style="211" bestFit="1" customWidth="1"/>
    <col min="12809" max="12810" width="2.33203125" style="211" bestFit="1" customWidth="1"/>
    <col min="12811" max="12811" width="2.6640625" style="211" bestFit="1" customWidth="1"/>
    <col min="12812" max="12812" width="2.33203125" style="211" bestFit="1" customWidth="1"/>
    <col min="12813" max="12814" width="3.46484375" style="211" bestFit="1" customWidth="1"/>
    <col min="12815" max="12815" width="3.33203125" style="211" customWidth="1"/>
    <col min="12816" max="12816" width="0" style="211" hidden="1" customWidth="1"/>
    <col min="12817" max="12817" width="10.53125" style="211" bestFit="1" customWidth="1"/>
    <col min="12818" max="12818" width="28.53125" style="211" bestFit="1" customWidth="1"/>
    <col min="12819" max="13056" width="11.46484375" style="211"/>
    <col min="13057" max="13057" width="43.33203125" style="211" customWidth="1"/>
    <col min="13058" max="13058" width="8.6640625" style="211" bestFit="1" customWidth="1"/>
    <col min="13059" max="13059" width="48.46484375" style="211" bestFit="1" customWidth="1"/>
    <col min="13060" max="13060" width="14.6640625" style="211" bestFit="1" customWidth="1"/>
    <col min="13061" max="13064" width="3.46484375" style="211" bestFit="1" customWidth="1"/>
    <col min="13065" max="13066" width="2.33203125" style="211" bestFit="1" customWidth="1"/>
    <col min="13067" max="13067" width="2.6640625" style="211" bestFit="1" customWidth="1"/>
    <col min="13068" max="13068" width="2.33203125" style="211" bestFit="1" customWidth="1"/>
    <col min="13069" max="13070" width="3.46484375" style="211" bestFit="1" customWidth="1"/>
    <col min="13071" max="13071" width="3.33203125" style="211" customWidth="1"/>
    <col min="13072" max="13072" width="0" style="211" hidden="1" customWidth="1"/>
    <col min="13073" max="13073" width="10.53125" style="211" bestFit="1" customWidth="1"/>
    <col min="13074" max="13074" width="28.53125" style="211" bestFit="1" customWidth="1"/>
    <col min="13075" max="13312" width="11.46484375" style="211"/>
    <col min="13313" max="13313" width="43.33203125" style="211" customWidth="1"/>
    <col min="13314" max="13314" width="8.6640625" style="211" bestFit="1" customWidth="1"/>
    <col min="13315" max="13315" width="48.46484375" style="211" bestFit="1" customWidth="1"/>
    <col min="13316" max="13316" width="14.6640625" style="211" bestFit="1" customWidth="1"/>
    <col min="13317" max="13320" width="3.46484375" style="211" bestFit="1" customWidth="1"/>
    <col min="13321" max="13322" width="2.33203125" style="211" bestFit="1" customWidth="1"/>
    <col min="13323" max="13323" width="2.6640625" style="211" bestFit="1" customWidth="1"/>
    <col min="13324" max="13324" width="2.33203125" style="211" bestFit="1" customWidth="1"/>
    <col min="13325" max="13326" width="3.46484375" style="211" bestFit="1" customWidth="1"/>
    <col min="13327" max="13327" width="3.33203125" style="211" customWidth="1"/>
    <col min="13328" max="13328" width="0" style="211" hidden="1" customWidth="1"/>
    <col min="13329" max="13329" width="10.53125" style="211" bestFit="1" customWidth="1"/>
    <col min="13330" max="13330" width="28.53125" style="211" bestFit="1" customWidth="1"/>
    <col min="13331" max="13568" width="11.46484375" style="211"/>
    <col min="13569" max="13569" width="43.33203125" style="211" customWidth="1"/>
    <col min="13570" max="13570" width="8.6640625" style="211" bestFit="1" customWidth="1"/>
    <col min="13571" max="13571" width="48.46484375" style="211" bestFit="1" customWidth="1"/>
    <col min="13572" max="13572" width="14.6640625" style="211" bestFit="1" customWidth="1"/>
    <col min="13573" max="13576" width="3.46484375" style="211" bestFit="1" customWidth="1"/>
    <col min="13577" max="13578" width="2.33203125" style="211" bestFit="1" customWidth="1"/>
    <col min="13579" max="13579" width="2.6640625" style="211" bestFit="1" customWidth="1"/>
    <col min="13580" max="13580" width="2.33203125" style="211" bestFit="1" customWidth="1"/>
    <col min="13581" max="13582" width="3.46484375" style="211" bestFit="1" customWidth="1"/>
    <col min="13583" max="13583" width="3.33203125" style="211" customWidth="1"/>
    <col min="13584" max="13584" width="0" style="211" hidden="1" customWidth="1"/>
    <col min="13585" max="13585" width="10.53125" style="211" bestFit="1" customWidth="1"/>
    <col min="13586" max="13586" width="28.53125" style="211" bestFit="1" customWidth="1"/>
    <col min="13587" max="13824" width="11.46484375" style="211"/>
    <col min="13825" max="13825" width="43.33203125" style="211" customWidth="1"/>
    <col min="13826" max="13826" width="8.6640625" style="211" bestFit="1" customWidth="1"/>
    <col min="13827" max="13827" width="48.46484375" style="211" bestFit="1" customWidth="1"/>
    <col min="13828" max="13828" width="14.6640625" style="211" bestFit="1" customWidth="1"/>
    <col min="13829" max="13832" width="3.46484375" style="211" bestFit="1" customWidth="1"/>
    <col min="13833" max="13834" width="2.33203125" style="211" bestFit="1" customWidth="1"/>
    <col min="13835" max="13835" width="2.6640625" style="211" bestFit="1" customWidth="1"/>
    <col min="13836" max="13836" width="2.33203125" style="211" bestFit="1" customWidth="1"/>
    <col min="13837" max="13838" width="3.46484375" style="211" bestFit="1" customWidth="1"/>
    <col min="13839" max="13839" width="3.33203125" style="211" customWidth="1"/>
    <col min="13840" max="13840" width="0" style="211" hidden="1" customWidth="1"/>
    <col min="13841" max="13841" width="10.53125" style="211" bestFit="1" customWidth="1"/>
    <col min="13842" max="13842" width="28.53125" style="211" bestFit="1" customWidth="1"/>
    <col min="13843" max="14080" width="11.46484375" style="211"/>
    <col min="14081" max="14081" width="43.33203125" style="211" customWidth="1"/>
    <col min="14082" max="14082" width="8.6640625" style="211" bestFit="1" customWidth="1"/>
    <col min="14083" max="14083" width="48.46484375" style="211" bestFit="1" customWidth="1"/>
    <col min="14084" max="14084" width="14.6640625" style="211" bestFit="1" customWidth="1"/>
    <col min="14085" max="14088" width="3.46484375" style="211" bestFit="1" customWidth="1"/>
    <col min="14089" max="14090" width="2.33203125" style="211" bestFit="1" customWidth="1"/>
    <col min="14091" max="14091" width="2.6640625" style="211" bestFit="1" customWidth="1"/>
    <col min="14092" max="14092" width="2.33203125" style="211" bestFit="1" customWidth="1"/>
    <col min="14093" max="14094" width="3.46484375" style="211" bestFit="1" customWidth="1"/>
    <col min="14095" max="14095" width="3.33203125" style="211" customWidth="1"/>
    <col min="14096" max="14096" width="0" style="211" hidden="1" customWidth="1"/>
    <col min="14097" max="14097" width="10.53125" style="211" bestFit="1" customWidth="1"/>
    <col min="14098" max="14098" width="28.53125" style="211" bestFit="1" customWidth="1"/>
    <col min="14099" max="14336" width="11.46484375" style="211"/>
    <col min="14337" max="14337" width="43.33203125" style="211" customWidth="1"/>
    <col min="14338" max="14338" width="8.6640625" style="211" bestFit="1" customWidth="1"/>
    <col min="14339" max="14339" width="48.46484375" style="211" bestFit="1" customWidth="1"/>
    <col min="14340" max="14340" width="14.6640625" style="211" bestFit="1" customWidth="1"/>
    <col min="14341" max="14344" width="3.46484375" style="211" bestFit="1" customWidth="1"/>
    <col min="14345" max="14346" width="2.33203125" style="211" bestFit="1" customWidth="1"/>
    <col min="14347" max="14347" width="2.6640625" style="211" bestFit="1" customWidth="1"/>
    <col min="14348" max="14348" width="2.33203125" style="211" bestFit="1" customWidth="1"/>
    <col min="14349" max="14350" width="3.46484375" style="211" bestFit="1" customWidth="1"/>
    <col min="14351" max="14351" width="3.33203125" style="211" customWidth="1"/>
    <col min="14352" max="14352" width="0" style="211" hidden="1" customWidth="1"/>
    <col min="14353" max="14353" width="10.53125" style="211" bestFit="1" customWidth="1"/>
    <col min="14354" max="14354" width="28.53125" style="211" bestFit="1" customWidth="1"/>
    <col min="14355" max="14592" width="11.46484375" style="211"/>
    <col min="14593" max="14593" width="43.33203125" style="211" customWidth="1"/>
    <col min="14594" max="14594" width="8.6640625" style="211" bestFit="1" customWidth="1"/>
    <col min="14595" max="14595" width="48.46484375" style="211" bestFit="1" customWidth="1"/>
    <col min="14596" max="14596" width="14.6640625" style="211" bestFit="1" customWidth="1"/>
    <col min="14597" max="14600" width="3.46484375" style="211" bestFit="1" customWidth="1"/>
    <col min="14601" max="14602" width="2.33203125" style="211" bestFit="1" customWidth="1"/>
    <col min="14603" max="14603" width="2.6640625" style="211" bestFit="1" customWidth="1"/>
    <col min="14604" max="14604" width="2.33203125" style="211" bestFit="1" customWidth="1"/>
    <col min="14605" max="14606" width="3.46484375" style="211" bestFit="1" customWidth="1"/>
    <col min="14607" max="14607" width="3.33203125" style="211" customWidth="1"/>
    <col min="14608" max="14608" width="0" style="211" hidden="1" customWidth="1"/>
    <col min="14609" max="14609" width="10.53125" style="211" bestFit="1" customWidth="1"/>
    <col min="14610" max="14610" width="28.53125" style="211" bestFit="1" customWidth="1"/>
    <col min="14611" max="14848" width="11.46484375" style="211"/>
    <col min="14849" max="14849" width="43.33203125" style="211" customWidth="1"/>
    <col min="14850" max="14850" width="8.6640625" style="211" bestFit="1" customWidth="1"/>
    <col min="14851" max="14851" width="48.46484375" style="211" bestFit="1" customWidth="1"/>
    <col min="14852" max="14852" width="14.6640625" style="211" bestFit="1" customWidth="1"/>
    <col min="14853" max="14856" width="3.46484375" style="211" bestFit="1" customWidth="1"/>
    <col min="14857" max="14858" width="2.33203125" style="211" bestFit="1" customWidth="1"/>
    <col min="14859" max="14859" width="2.6640625" style="211" bestFit="1" customWidth="1"/>
    <col min="14860" max="14860" width="2.33203125" style="211" bestFit="1" customWidth="1"/>
    <col min="14861" max="14862" width="3.46484375" style="211" bestFit="1" customWidth="1"/>
    <col min="14863" max="14863" width="3.33203125" style="211" customWidth="1"/>
    <col min="14864" max="14864" width="0" style="211" hidden="1" customWidth="1"/>
    <col min="14865" max="14865" width="10.53125" style="211" bestFit="1" customWidth="1"/>
    <col min="14866" max="14866" width="28.53125" style="211" bestFit="1" customWidth="1"/>
    <col min="14867" max="15104" width="11.46484375" style="211"/>
    <col min="15105" max="15105" width="43.33203125" style="211" customWidth="1"/>
    <col min="15106" max="15106" width="8.6640625" style="211" bestFit="1" customWidth="1"/>
    <col min="15107" max="15107" width="48.46484375" style="211" bestFit="1" customWidth="1"/>
    <col min="15108" max="15108" width="14.6640625" style="211" bestFit="1" customWidth="1"/>
    <col min="15109" max="15112" width="3.46484375" style="211" bestFit="1" customWidth="1"/>
    <col min="15113" max="15114" width="2.33203125" style="211" bestFit="1" customWidth="1"/>
    <col min="15115" max="15115" width="2.6640625" style="211" bestFit="1" customWidth="1"/>
    <col min="15116" max="15116" width="2.33203125" style="211" bestFit="1" customWidth="1"/>
    <col min="15117" max="15118" width="3.46484375" style="211" bestFit="1" customWidth="1"/>
    <col min="15119" max="15119" width="3.33203125" style="211" customWidth="1"/>
    <col min="15120" max="15120" width="0" style="211" hidden="1" customWidth="1"/>
    <col min="15121" max="15121" width="10.53125" style="211" bestFit="1" customWidth="1"/>
    <col min="15122" max="15122" width="28.53125" style="211" bestFit="1" customWidth="1"/>
    <col min="15123" max="15360" width="11.46484375" style="211"/>
    <col min="15361" max="15361" width="43.33203125" style="211" customWidth="1"/>
    <col min="15362" max="15362" width="8.6640625" style="211" bestFit="1" customWidth="1"/>
    <col min="15363" max="15363" width="48.46484375" style="211" bestFit="1" customWidth="1"/>
    <col min="15364" max="15364" width="14.6640625" style="211" bestFit="1" customWidth="1"/>
    <col min="15365" max="15368" width="3.46484375" style="211" bestFit="1" customWidth="1"/>
    <col min="15369" max="15370" width="2.33203125" style="211" bestFit="1" customWidth="1"/>
    <col min="15371" max="15371" width="2.6640625" style="211" bestFit="1" customWidth="1"/>
    <col min="15372" max="15372" width="2.33203125" style="211" bestFit="1" customWidth="1"/>
    <col min="15373" max="15374" width="3.46484375" style="211" bestFit="1" customWidth="1"/>
    <col min="15375" max="15375" width="3.33203125" style="211" customWidth="1"/>
    <col min="15376" max="15376" width="0" style="211" hidden="1" customWidth="1"/>
    <col min="15377" max="15377" width="10.53125" style="211" bestFit="1" customWidth="1"/>
    <col min="15378" max="15378" width="28.53125" style="211" bestFit="1" customWidth="1"/>
    <col min="15379" max="15616" width="11.46484375" style="211"/>
    <col min="15617" max="15617" width="43.33203125" style="211" customWidth="1"/>
    <col min="15618" max="15618" width="8.6640625" style="211" bestFit="1" customWidth="1"/>
    <col min="15619" max="15619" width="48.46484375" style="211" bestFit="1" customWidth="1"/>
    <col min="15620" max="15620" width="14.6640625" style="211" bestFit="1" customWidth="1"/>
    <col min="15621" max="15624" width="3.46484375" style="211" bestFit="1" customWidth="1"/>
    <col min="15625" max="15626" width="2.33203125" style="211" bestFit="1" customWidth="1"/>
    <col min="15627" max="15627" width="2.6640625" style="211" bestFit="1" customWidth="1"/>
    <col min="15628" max="15628" width="2.33203125" style="211" bestFit="1" customWidth="1"/>
    <col min="15629" max="15630" width="3.46484375" style="211" bestFit="1" customWidth="1"/>
    <col min="15631" max="15631" width="3.33203125" style="211" customWidth="1"/>
    <col min="15632" max="15632" width="0" style="211" hidden="1" customWidth="1"/>
    <col min="15633" max="15633" width="10.53125" style="211" bestFit="1" customWidth="1"/>
    <col min="15634" max="15634" width="28.53125" style="211" bestFit="1" customWidth="1"/>
    <col min="15635" max="15872" width="11.46484375" style="211"/>
    <col min="15873" max="15873" width="43.33203125" style="211" customWidth="1"/>
    <col min="15874" max="15874" width="8.6640625" style="211" bestFit="1" customWidth="1"/>
    <col min="15875" max="15875" width="48.46484375" style="211" bestFit="1" customWidth="1"/>
    <col min="15876" max="15876" width="14.6640625" style="211" bestFit="1" customWidth="1"/>
    <col min="15877" max="15880" width="3.46484375" style="211" bestFit="1" customWidth="1"/>
    <col min="15881" max="15882" width="2.33203125" style="211" bestFit="1" customWidth="1"/>
    <col min="15883" max="15883" width="2.6640625" style="211" bestFit="1" customWidth="1"/>
    <col min="15884" max="15884" width="2.33203125" style="211" bestFit="1" customWidth="1"/>
    <col min="15885" max="15886" width="3.46484375" style="211" bestFit="1" customWidth="1"/>
    <col min="15887" max="15887" width="3.33203125" style="211" customWidth="1"/>
    <col min="15888" max="15888" width="0" style="211" hidden="1" customWidth="1"/>
    <col min="15889" max="15889" width="10.53125" style="211" bestFit="1" customWidth="1"/>
    <col min="15890" max="15890" width="28.53125" style="211" bestFit="1" customWidth="1"/>
    <col min="15891" max="16128" width="11.46484375" style="211"/>
    <col min="16129" max="16129" width="43.33203125" style="211" customWidth="1"/>
    <col min="16130" max="16130" width="8.6640625" style="211" bestFit="1" customWidth="1"/>
    <col min="16131" max="16131" width="48.46484375" style="211" bestFit="1" customWidth="1"/>
    <col min="16132" max="16132" width="14.6640625" style="211" bestFit="1" customWidth="1"/>
    <col min="16133" max="16136" width="3.46484375" style="211" bestFit="1" customWidth="1"/>
    <col min="16137" max="16138" width="2.33203125" style="211" bestFit="1" customWidth="1"/>
    <col min="16139" max="16139" width="2.6640625" style="211" bestFit="1" customWidth="1"/>
    <col min="16140" max="16140" width="2.33203125" style="211" bestFit="1" customWidth="1"/>
    <col min="16141" max="16142" width="3.46484375" style="211" bestFit="1" customWidth="1"/>
    <col min="16143" max="16143" width="3.33203125" style="211" customWidth="1"/>
    <col min="16144" max="16144" width="0" style="211" hidden="1" customWidth="1"/>
    <col min="16145" max="16145" width="10.53125" style="211" bestFit="1" customWidth="1"/>
    <col min="16146" max="16146" width="28.53125" style="211" bestFit="1" customWidth="1"/>
    <col min="16147" max="16384" width="11.46484375" style="211"/>
  </cols>
  <sheetData>
    <row r="1" spans="1:18" s="1681" customFormat="1" ht="45" customHeight="1" thickBot="1">
      <c r="A1" s="1677"/>
      <c r="B1" s="1678"/>
      <c r="C1" s="1679" t="s">
        <v>1489</v>
      </c>
      <c r="D1" s="1680">
        <f>SUBTOTAL(9,P9:P108)</f>
        <v>51</v>
      </c>
      <c r="E1" s="1680"/>
      <c r="F1" s="1680"/>
      <c r="G1" s="1680"/>
      <c r="H1" s="1680"/>
      <c r="I1" s="1680"/>
      <c r="J1" s="1680"/>
      <c r="K1" s="1680"/>
      <c r="L1" s="1680"/>
      <c r="M1" s="1680"/>
      <c r="N1" s="1680"/>
      <c r="P1" s="1678"/>
      <c r="R1" s="1682"/>
    </row>
    <row r="2" spans="1:18" s="1686" customFormat="1" ht="22.9" thickBot="1">
      <c r="A2" s="2070" t="str">
        <f>+'[1]Bce Clasificado 01.01.2021'!B1</f>
        <v>Colegio de Contadores de Chile A.G.</v>
      </c>
      <c r="B2" s="2070"/>
      <c r="C2" s="2070"/>
      <c r="D2" s="2070"/>
      <c r="E2" s="1683"/>
      <c r="F2" s="1683"/>
      <c r="G2" s="1683"/>
      <c r="H2" s="1683"/>
      <c r="I2" s="1683"/>
      <c r="J2" s="1683"/>
      <c r="K2" s="1683"/>
      <c r="L2" s="1683"/>
      <c r="M2" s="1683"/>
      <c r="N2" s="1683"/>
      <c r="O2" s="1683"/>
      <c r="P2" s="1680"/>
      <c r="Q2" s="1684" t="s">
        <v>1475</v>
      </c>
      <c r="R2" s="1685" t="s">
        <v>1698</v>
      </c>
    </row>
    <row r="3" spans="1:18" s="1686" customFormat="1" ht="13.15" thickBot="1">
      <c r="A3" s="1687" t="str">
        <f>+Materialidad!B5</f>
        <v>Auditoría al 31 de diciembre de 2024</v>
      </c>
      <c r="B3" s="1680"/>
      <c r="C3" s="1679" t="s">
        <v>1490</v>
      </c>
      <c r="D3" s="1688">
        <f>+Materialidad!E29</f>
        <v>18366053.175000001</v>
      </c>
      <c r="E3" s="1689"/>
      <c r="F3" s="1689"/>
      <c r="H3" s="1680"/>
      <c r="I3" s="1690"/>
      <c r="J3" s="1680"/>
      <c r="K3" s="1680"/>
      <c r="L3" s="1680"/>
      <c r="M3" s="1680"/>
      <c r="N3" s="1680"/>
      <c r="O3" s="1680"/>
      <c r="P3" s="1680"/>
      <c r="Q3" s="1691" t="s">
        <v>1476</v>
      </c>
      <c r="R3" s="1692" t="s">
        <v>1712</v>
      </c>
    </row>
    <row r="4" spans="1:18" s="1686" customFormat="1" ht="12.75">
      <c r="A4" s="1693"/>
      <c r="B4" s="1680"/>
      <c r="D4" s="1694"/>
      <c r="E4" s="1680"/>
      <c r="F4" s="1680"/>
      <c r="G4" s="1680"/>
      <c r="H4" s="1680"/>
      <c r="I4" s="1690"/>
      <c r="J4" s="1680"/>
      <c r="K4" s="1680"/>
      <c r="L4" s="1680"/>
      <c r="M4" s="1680"/>
      <c r="N4" s="1680"/>
      <c r="O4" s="1680"/>
      <c r="P4" s="1680"/>
    </row>
    <row r="5" spans="1:18" s="1686" customFormat="1" ht="12.75">
      <c r="A5" s="2071" t="s">
        <v>1644</v>
      </c>
      <c r="B5" s="2071"/>
      <c r="C5" s="2071"/>
      <c r="D5" s="2071"/>
      <c r="E5" s="2071"/>
      <c r="F5" s="2071"/>
      <c r="G5" s="2071"/>
      <c r="H5" s="2071"/>
      <c r="I5" s="2071"/>
      <c r="J5" s="2071"/>
      <c r="K5" s="2071"/>
      <c r="L5" s="2071"/>
      <c r="M5" s="2071"/>
      <c r="N5" s="2071"/>
      <c r="O5" s="2071"/>
      <c r="P5" s="2071"/>
      <c r="Q5" s="2071"/>
      <c r="R5" s="2071"/>
    </row>
    <row r="6" spans="1:18" s="1686" customFormat="1" ht="12.75">
      <c r="A6" s="1680"/>
      <c r="B6" s="1680"/>
      <c r="E6" s="1680"/>
      <c r="F6" s="1680"/>
      <c r="G6" s="1680"/>
      <c r="H6" s="1680"/>
      <c r="I6" s="1690"/>
      <c r="J6" s="1680"/>
      <c r="K6" s="1680"/>
      <c r="L6" s="1680"/>
      <c r="M6" s="1680"/>
      <c r="N6" s="1680"/>
      <c r="O6" s="1680"/>
      <c r="P6" s="1680"/>
    </row>
    <row r="7" spans="1:18" s="1696" customFormat="1" ht="11.25">
      <c r="A7" s="1695"/>
      <c r="B7" s="1695"/>
      <c r="C7" s="1695"/>
      <c r="D7" s="1695" t="s">
        <v>1491</v>
      </c>
      <c r="E7" s="2068" t="s">
        <v>1492</v>
      </c>
      <c r="F7" s="2068" t="s">
        <v>1493</v>
      </c>
      <c r="G7" s="2068" t="s">
        <v>1494</v>
      </c>
      <c r="H7" s="2068" t="s">
        <v>1495</v>
      </c>
      <c r="I7" s="2068" t="s">
        <v>1496</v>
      </c>
      <c r="J7" s="2068" t="s">
        <v>1497</v>
      </c>
      <c r="K7" s="2068" t="s">
        <v>1498</v>
      </c>
      <c r="L7" s="2068" t="s">
        <v>1499</v>
      </c>
      <c r="M7" s="2068" t="s">
        <v>1500</v>
      </c>
      <c r="N7" s="2068" t="s">
        <v>1501</v>
      </c>
      <c r="O7" s="2068" t="s">
        <v>1502</v>
      </c>
      <c r="Q7" s="1695" t="s">
        <v>1503</v>
      </c>
      <c r="R7" s="1695" t="s">
        <v>1504</v>
      </c>
    </row>
    <row r="8" spans="1:18" s="1696" customFormat="1" ht="11.25">
      <c r="A8" s="1697" t="s">
        <v>1505</v>
      </c>
      <c r="B8" s="1697" t="s">
        <v>1506</v>
      </c>
      <c r="C8" s="1697" t="s">
        <v>1507</v>
      </c>
      <c r="D8" s="1698" t="s">
        <v>1508</v>
      </c>
      <c r="E8" s="2069"/>
      <c r="F8" s="2069"/>
      <c r="G8" s="2069"/>
      <c r="H8" s="2069"/>
      <c r="I8" s="2069"/>
      <c r="J8" s="2069"/>
      <c r="K8" s="2069"/>
      <c r="L8" s="2069"/>
      <c r="M8" s="2069"/>
      <c r="N8" s="2069"/>
      <c r="O8" s="2069"/>
      <c r="Q8" s="1697" t="s">
        <v>1509</v>
      </c>
      <c r="R8" s="1697" t="s">
        <v>1510</v>
      </c>
    </row>
    <row r="9" spans="1:18">
      <c r="A9" s="1699" t="str">
        <f>+'Bce Clasificado 31.12.2024'!B22</f>
        <v>5. 11.10.10   Efectivo y Equivalente al Efectivo</v>
      </c>
      <c r="B9" s="1700"/>
      <c r="C9" s="1700" t="str">
        <f>+'Bce Clasificado 31.12.2024'!B14</f>
        <v xml:space="preserve">1-1-01-001 Caja </v>
      </c>
      <c r="D9" s="1701">
        <f>+'Bce Clasificado 31.12.2024'!D14</f>
        <v>50000000</v>
      </c>
      <c r="E9" s="1702">
        <f>IF(ABS(D9)&gt;$D$3,1,"")</f>
        <v>1</v>
      </c>
      <c r="F9" s="1702"/>
      <c r="G9" s="1702"/>
      <c r="H9" s="1702"/>
      <c r="I9" s="1703"/>
      <c r="J9" s="1703"/>
      <c r="K9" s="1703"/>
      <c r="L9" s="1703"/>
      <c r="M9" s="1702"/>
      <c r="N9" s="1702">
        <f t="shared" ref="N9:N72" si="0">SUM(E9:M9)</f>
        <v>1</v>
      </c>
      <c r="O9" s="1704" t="str">
        <f t="shared" ref="O9:O72" si="1">IF(N9&gt;0,"Ok","")</f>
        <v>Ok</v>
      </c>
      <c r="P9" s="1705">
        <f t="shared" ref="P9:P72" si="2">IF(O9="Ok",1,0)</f>
        <v>1</v>
      </c>
      <c r="Q9" s="1706" t="s">
        <v>1713</v>
      </c>
      <c r="R9" s="1706" t="s">
        <v>1714</v>
      </c>
    </row>
    <row r="10" spans="1:18">
      <c r="A10" s="1699" t="str">
        <f>+A9</f>
        <v>5. 11.10.10   Efectivo y Equivalente al Efectivo</v>
      </c>
      <c r="B10" s="1700"/>
      <c r="C10" s="1700" t="str">
        <f>+'Bce Clasificado 31.12.2024'!B15</f>
        <v>1-1-01-002 Caja Moneda Extranjera</v>
      </c>
      <c r="D10" s="1701">
        <f>+'Bce Clasificado 31.12.2024'!D15</f>
        <v>60000000</v>
      </c>
      <c r="E10" s="1702">
        <f t="shared" ref="E10:E73" si="3">IF(ABS(D10)&gt;$D$3,1,"")</f>
        <v>1</v>
      </c>
      <c r="F10" s="1702"/>
      <c r="G10" s="1702"/>
      <c r="H10" s="1702"/>
      <c r="I10" s="1703"/>
      <c r="J10" s="1703"/>
      <c r="K10" s="1703"/>
      <c r="L10" s="1703"/>
      <c r="M10" s="1702"/>
      <c r="N10" s="1702">
        <f t="shared" si="0"/>
        <v>1</v>
      </c>
      <c r="O10" s="1704" t="str">
        <f t="shared" si="1"/>
        <v>Ok</v>
      </c>
      <c r="P10" s="1705">
        <f t="shared" si="2"/>
        <v>1</v>
      </c>
      <c r="Q10" s="1706" t="s">
        <v>1713</v>
      </c>
      <c r="R10" s="1706" t="s">
        <v>1714</v>
      </c>
    </row>
    <row r="11" spans="1:18">
      <c r="A11" s="1699" t="str">
        <f t="shared" ref="A11:A16" si="4">+A10</f>
        <v>5. 11.10.10   Efectivo y Equivalente al Efectivo</v>
      </c>
      <c r="B11" s="1700"/>
      <c r="C11" s="1700" t="str">
        <f>+'Bce Clasificado 31.12.2024'!B16</f>
        <v>1-1-01-003 Fondo Fijo</v>
      </c>
      <c r="D11" s="1701">
        <f>+'Bce Clasificado 31.12.2024'!D16</f>
        <v>1000000</v>
      </c>
      <c r="E11" s="1702" t="str">
        <f t="shared" si="3"/>
        <v/>
      </c>
      <c r="F11" s="1702"/>
      <c r="G11" s="1702"/>
      <c r="H11" s="1702"/>
      <c r="I11" s="1703"/>
      <c r="J11" s="1703"/>
      <c r="K11" s="1703"/>
      <c r="L11" s="1703"/>
      <c r="M11" s="1702"/>
      <c r="N11" s="1702">
        <f t="shared" si="0"/>
        <v>0</v>
      </c>
      <c r="O11" s="1704" t="str">
        <f t="shared" si="1"/>
        <v/>
      </c>
      <c r="P11" s="1705">
        <f t="shared" si="2"/>
        <v>0</v>
      </c>
      <c r="Q11" s="1706"/>
      <c r="R11" s="1706"/>
    </row>
    <row r="12" spans="1:18">
      <c r="A12" s="1699" t="str">
        <f t="shared" si="4"/>
        <v>5. 11.10.10   Efectivo y Equivalente al Efectivo</v>
      </c>
      <c r="B12" s="1700"/>
      <c r="C12" s="1700" t="str">
        <f>+'Bce Clasificado 31.12.2024'!B17</f>
        <v>1-1-03-002 Banco Santander</v>
      </c>
      <c r="D12" s="1701">
        <f>+'Bce Clasificado 31.12.2024'!D17</f>
        <v>40000000</v>
      </c>
      <c r="E12" s="1702">
        <f t="shared" si="3"/>
        <v>1</v>
      </c>
      <c r="F12" s="1702">
        <v>1</v>
      </c>
      <c r="G12" s="1702"/>
      <c r="H12" s="1702"/>
      <c r="I12" s="1703"/>
      <c r="J12" s="1703"/>
      <c r="K12" s="1703"/>
      <c r="L12" s="1703"/>
      <c r="M12" s="1702"/>
      <c r="N12" s="1702">
        <f t="shared" si="0"/>
        <v>2</v>
      </c>
      <c r="O12" s="1704" t="str">
        <f t="shared" si="1"/>
        <v>Ok</v>
      </c>
      <c r="P12" s="1705">
        <f t="shared" si="2"/>
        <v>1</v>
      </c>
      <c r="Q12" s="1706" t="s">
        <v>1713</v>
      </c>
      <c r="R12" s="1706" t="s">
        <v>1714</v>
      </c>
    </row>
    <row r="13" spans="1:18">
      <c r="A13" s="1699" t="str">
        <f t="shared" si="4"/>
        <v>5. 11.10.10   Efectivo y Equivalente al Efectivo</v>
      </c>
      <c r="B13" s="1700"/>
      <c r="C13" s="1700" t="str">
        <f>+'Bce Clasificado 31.12.2024'!B18</f>
        <v>1-1-03-002 Banco Chile moneda Extranjera</v>
      </c>
      <c r="D13" s="1701">
        <f>+'Bce Clasificado 31.12.2024'!D18</f>
        <v>50000000</v>
      </c>
      <c r="E13" s="1702">
        <f t="shared" si="3"/>
        <v>1</v>
      </c>
      <c r="F13" s="1702">
        <v>1</v>
      </c>
      <c r="G13" s="1702"/>
      <c r="H13" s="1702"/>
      <c r="I13" s="1703"/>
      <c r="J13" s="1703"/>
      <c r="K13" s="1703"/>
      <c r="L13" s="1703"/>
      <c r="M13" s="1702"/>
      <c r="N13" s="1702">
        <f t="shared" si="0"/>
        <v>2</v>
      </c>
      <c r="O13" s="1704" t="str">
        <f t="shared" si="1"/>
        <v>Ok</v>
      </c>
      <c r="P13" s="1705">
        <f t="shared" si="2"/>
        <v>1</v>
      </c>
      <c r="Q13" s="1706" t="s">
        <v>1713</v>
      </c>
      <c r="R13" s="1706" t="s">
        <v>1714</v>
      </c>
    </row>
    <row r="14" spans="1:18">
      <c r="A14" s="1699" t="str">
        <f t="shared" si="4"/>
        <v>5. 11.10.10   Efectivo y Equivalente al Efectivo</v>
      </c>
      <c r="B14" s="1700"/>
      <c r="C14" s="1700" t="str">
        <f>+'Bce Clasificado 31.12.2024'!B19</f>
        <v>1-1-03-006 Bancos Estado</v>
      </c>
      <c r="D14" s="1701">
        <f>+'Bce Clasificado 31.12.2024'!D19</f>
        <v>10000000</v>
      </c>
      <c r="E14" s="1702" t="str">
        <f t="shared" si="3"/>
        <v/>
      </c>
      <c r="F14" s="1702">
        <v>1</v>
      </c>
      <c r="G14" s="1702"/>
      <c r="H14" s="1702"/>
      <c r="I14" s="1703"/>
      <c r="J14" s="1703"/>
      <c r="K14" s="1703"/>
      <c r="L14" s="1703"/>
      <c r="M14" s="1702"/>
      <c r="N14" s="1702">
        <f t="shared" si="0"/>
        <v>1</v>
      </c>
      <c r="O14" s="1704" t="str">
        <f t="shared" si="1"/>
        <v>Ok</v>
      </c>
      <c r="P14" s="1705">
        <f t="shared" si="2"/>
        <v>1</v>
      </c>
      <c r="Q14" s="1706"/>
      <c r="R14" s="1706"/>
    </row>
    <row r="15" spans="1:18">
      <c r="A15" s="1699" t="str">
        <f t="shared" si="4"/>
        <v>5. 11.10.10   Efectivo y Equivalente al Efectivo</v>
      </c>
      <c r="B15" s="1700"/>
      <c r="C15" s="1700" t="str">
        <f>+'Bce Clasificado 31.12.2024'!B20</f>
        <v>1-1-03-007 Efectivo en transito</v>
      </c>
      <c r="D15" s="1701">
        <f>+'Bce Clasificado 31.12.2024'!D20</f>
        <v>2500000</v>
      </c>
      <c r="E15" s="1702" t="str">
        <f t="shared" si="3"/>
        <v/>
      </c>
      <c r="F15" s="1702"/>
      <c r="G15" s="1702"/>
      <c r="H15" s="1702"/>
      <c r="I15" s="1703"/>
      <c r="J15" s="1703"/>
      <c r="K15" s="1703"/>
      <c r="L15" s="1703"/>
      <c r="M15" s="1702"/>
      <c r="N15" s="1702">
        <f t="shared" si="0"/>
        <v>0</v>
      </c>
      <c r="O15" s="1704" t="str">
        <f t="shared" si="1"/>
        <v/>
      </c>
      <c r="P15" s="1705">
        <f t="shared" si="2"/>
        <v>0</v>
      </c>
      <c r="Q15" s="1706"/>
      <c r="R15" s="1706"/>
    </row>
    <row r="16" spans="1:18">
      <c r="A16" s="1699" t="str">
        <f t="shared" si="4"/>
        <v>5. 11.10.10   Efectivo y Equivalente al Efectivo</v>
      </c>
      <c r="B16" s="1700"/>
      <c r="C16" s="1700" t="str">
        <f>+'Bce Clasificado 31.12.2024'!B21</f>
        <v>1-1-04-002 Depósitos a Plazo vencimiento 30 días</v>
      </c>
      <c r="D16" s="1701">
        <f>+'Bce Clasificado 31.12.2024'!D21</f>
        <v>120000000</v>
      </c>
      <c r="E16" s="1702">
        <f t="shared" si="3"/>
        <v>1</v>
      </c>
      <c r="F16" s="1702"/>
      <c r="G16" s="1702"/>
      <c r="H16" s="1702"/>
      <c r="I16" s="1703"/>
      <c r="J16" s="1703"/>
      <c r="K16" s="1703"/>
      <c r="L16" s="1703"/>
      <c r="M16" s="1702"/>
      <c r="N16" s="1702">
        <f t="shared" si="0"/>
        <v>1</v>
      </c>
      <c r="O16" s="1704" t="str">
        <f t="shared" si="1"/>
        <v>Ok</v>
      </c>
      <c r="P16" s="1705">
        <f t="shared" si="2"/>
        <v>1</v>
      </c>
      <c r="Q16" s="1706" t="s">
        <v>1713</v>
      </c>
      <c r="R16" s="1706" t="s">
        <v>1714</v>
      </c>
    </row>
    <row r="17" spans="1:18">
      <c r="A17" s="1699" t="str">
        <f>+'Bce Clasificado 31.12.2024'!B30</f>
        <v>5. 11.10.20   Otros Activos Financieros Corrientes</v>
      </c>
      <c r="B17" s="1700"/>
      <c r="C17" s="1700" t="str">
        <f>+'Bce Clasificado 31.12.2024'!B24</f>
        <v>1-1-04-004 Acciones Lan</v>
      </c>
      <c r="D17" s="1701">
        <f>+'Bce Clasificado 31.12.2024'!D24</f>
        <v>100000000</v>
      </c>
      <c r="E17" s="1702">
        <f t="shared" si="3"/>
        <v>1</v>
      </c>
      <c r="F17" s="1702"/>
      <c r="G17" s="1702"/>
      <c r="H17" s="1702"/>
      <c r="I17" s="1703"/>
      <c r="J17" s="1703"/>
      <c r="K17" s="1703"/>
      <c r="L17" s="1703"/>
      <c r="M17" s="1702"/>
      <c r="N17" s="1702">
        <f t="shared" si="0"/>
        <v>1</v>
      </c>
      <c r="O17" s="1704" t="str">
        <f t="shared" si="1"/>
        <v>Ok</v>
      </c>
      <c r="P17" s="1705">
        <f t="shared" si="2"/>
        <v>1</v>
      </c>
      <c r="Q17" s="1706" t="s">
        <v>1713</v>
      </c>
      <c r="R17" s="1706" t="s">
        <v>1714</v>
      </c>
    </row>
    <row r="18" spans="1:18">
      <c r="A18" s="1699" t="str">
        <f>+A17</f>
        <v>5. 11.10.20   Otros Activos Financieros Corrientes</v>
      </c>
      <c r="B18" s="1700"/>
      <c r="C18" s="1700" t="str">
        <f>+'Bce Clasificado 31.12.2024'!B25</f>
        <v>1-1-04-005 Acciones Tesla</v>
      </c>
      <c r="D18" s="1701">
        <f>+'Bce Clasificado 31.12.2024'!D25</f>
        <v>40000000</v>
      </c>
      <c r="E18" s="1702">
        <f t="shared" si="3"/>
        <v>1</v>
      </c>
      <c r="F18" s="1702"/>
      <c r="G18" s="1702"/>
      <c r="H18" s="1702"/>
      <c r="I18" s="1703"/>
      <c r="J18" s="1703"/>
      <c r="K18" s="1703"/>
      <c r="L18" s="1703"/>
      <c r="M18" s="1702"/>
      <c r="N18" s="1702">
        <f t="shared" si="0"/>
        <v>1</v>
      </c>
      <c r="O18" s="1704" t="str">
        <f t="shared" si="1"/>
        <v>Ok</v>
      </c>
      <c r="P18" s="1705">
        <f t="shared" si="2"/>
        <v>1</v>
      </c>
      <c r="Q18" s="1706" t="s">
        <v>1713</v>
      </c>
      <c r="R18" s="1706" t="s">
        <v>1714</v>
      </c>
    </row>
    <row r="19" spans="1:18">
      <c r="A19" s="1699" t="str">
        <f t="shared" ref="A19:A22" si="5">+A18</f>
        <v>5. 11.10.20   Otros Activos Financieros Corrientes</v>
      </c>
      <c r="B19" s="1700"/>
      <c r="C19" s="1700" t="str">
        <f>+'Bce Clasificado 31.12.2024'!B26</f>
        <v>1-1-04-006 Acciones Bitcoin</v>
      </c>
      <c r="D19" s="1701">
        <f>+'Bce Clasificado 31.12.2024'!D26</f>
        <v>80000000</v>
      </c>
      <c r="E19" s="1702">
        <f t="shared" si="3"/>
        <v>1</v>
      </c>
      <c r="F19" s="1702"/>
      <c r="G19" s="1702"/>
      <c r="H19" s="1702"/>
      <c r="I19" s="1703"/>
      <c r="J19" s="1703"/>
      <c r="K19" s="1703"/>
      <c r="L19" s="1703"/>
      <c r="M19" s="1702"/>
      <c r="N19" s="1702">
        <f t="shared" si="0"/>
        <v>1</v>
      </c>
      <c r="O19" s="1704" t="str">
        <f t="shared" si="1"/>
        <v>Ok</v>
      </c>
      <c r="P19" s="1705">
        <f t="shared" si="2"/>
        <v>1</v>
      </c>
      <c r="Q19" s="1706" t="s">
        <v>1713</v>
      </c>
      <c r="R19" s="1706" t="s">
        <v>1714</v>
      </c>
    </row>
    <row r="20" spans="1:18">
      <c r="A20" s="1699" t="str">
        <f t="shared" si="5"/>
        <v>5. 11.10.20   Otros Activos Financieros Corrientes</v>
      </c>
      <c r="B20" s="1700"/>
      <c r="C20" s="1700" t="str">
        <f>+'Bce Clasificado 31.12.2024'!B27</f>
        <v>1-1-04-007 Acciones Cardano</v>
      </c>
      <c r="D20" s="1701">
        <f>+'Bce Clasificado 31.12.2024'!D27</f>
        <v>120000000</v>
      </c>
      <c r="E20" s="1702">
        <f t="shared" si="3"/>
        <v>1</v>
      </c>
      <c r="F20" s="1702"/>
      <c r="G20" s="1702"/>
      <c r="H20" s="1702"/>
      <c r="I20" s="1703"/>
      <c r="J20" s="1703"/>
      <c r="K20" s="1703"/>
      <c r="L20" s="1703"/>
      <c r="M20" s="1702"/>
      <c r="N20" s="1702">
        <f t="shared" si="0"/>
        <v>1</v>
      </c>
      <c r="O20" s="1704" t="str">
        <f t="shared" si="1"/>
        <v>Ok</v>
      </c>
      <c r="P20" s="1705">
        <f t="shared" si="2"/>
        <v>1</v>
      </c>
      <c r="Q20" s="1706" t="s">
        <v>1713</v>
      </c>
      <c r="R20" s="1706" t="s">
        <v>1714</v>
      </c>
    </row>
    <row r="21" spans="1:18">
      <c r="A21" s="1699" t="str">
        <f t="shared" si="5"/>
        <v>5. 11.10.20   Otros Activos Financieros Corrientes</v>
      </c>
      <c r="B21" s="1700"/>
      <c r="C21" s="1700" t="str">
        <f>+'Bce Clasificado 31.12.2024'!B28</f>
        <v>1-1-05-007 Forward USD</v>
      </c>
      <c r="D21" s="1701">
        <f>+'Bce Clasificado 31.12.2024'!D28</f>
        <v>50540000</v>
      </c>
      <c r="E21" s="1702">
        <f t="shared" si="3"/>
        <v>1</v>
      </c>
      <c r="F21" s="1702"/>
      <c r="G21" s="1702"/>
      <c r="H21" s="1702"/>
      <c r="I21" s="1703"/>
      <c r="J21" s="1703"/>
      <c r="K21" s="1703"/>
      <c r="L21" s="1703"/>
      <c r="M21" s="1702"/>
      <c r="N21" s="1702">
        <f t="shared" si="0"/>
        <v>1</v>
      </c>
      <c r="O21" s="1704" t="str">
        <f t="shared" si="1"/>
        <v>Ok</v>
      </c>
      <c r="P21" s="1705">
        <f t="shared" si="2"/>
        <v>1</v>
      </c>
      <c r="Q21" s="1706" t="s">
        <v>1713</v>
      </c>
      <c r="R21" s="1706" t="s">
        <v>1714</v>
      </c>
    </row>
    <row r="22" spans="1:18">
      <c r="A22" s="1699" t="str">
        <f t="shared" si="5"/>
        <v>5. 11.10.20   Otros Activos Financieros Corrientes</v>
      </c>
      <c r="B22" s="1700"/>
      <c r="C22" s="1700" t="str">
        <f>+'Bce Clasificado 31.12.2024'!B29</f>
        <v>1-1-04-003 Cuotas de Fondos Mutuos  180 días</v>
      </c>
      <c r="D22" s="1701">
        <f>+'Bce Clasificado 31.12.2024'!D29</f>
        <v>160000000</v>
      </c>
      <c r="E22" s="1702">
        <f t="shared" si="3"/>
        <v>1</v>
      </c>
      <c r="F22" s="1702"/>
      <c r="G22" s="1702"/>
      <c r="H22" s="1702"/>
      <c r="I22" s="1703"/>
      <c r="J22" s="1703"/>
      <c r="K22" s="1703"/>
      <c r="L22" s="1703"/>
      <c r="M22" s="1702"/>
      <c r="N22" s="1702">
        <f t="shared" si="0"/>
        <v>1</v>
      </c>
      <c r="O22" s="1704" t="str">
        <f t="shared" si="1"/>
        <v>Ok</v>
      </c>
      <c r="P22" s="1705">
        <f t="shared" si="2"/>
        <v>1</v>
      </c>
      <c r="Q22" s="1706" t="s">
        <v>1713</v>
      </c>
      <c r="R22" s="1706" t="s">
        <v>1714</v>
      </c>
    </row>
    <row r="23" spans="1:18">
      <c r="A23" s="1699" t="str">
        <f>+'Bce Clasificado 31.12.2024'!B37</f>
        <v>5. 11.10.30   Otros Activos No Financieros Corrientes</v>
      </c>
      <c r="B23" s="1700"/>
      <c r="C23" s="1700" t="str">
        <f>+'Bce Clasificado 31.12.2024'!B32</f>
        <v>1-1-06-001 Garantías Otorgadas</v>
      </c>
      <c r="D23" s="1701">
        <f>+'Bce Clasificado 31.12.2024'!D32</f>
        <v>3000000</v>
      </c>
      <c r="E23" s="1702" t="str">
        <f t="shared" si="3"/>
        <v/>
      </c>
      <c r="F23" s="1702"/>
      <c r="G23" s="1702"/>
      <c r="H23" s="1702"/>
      <c r="I23" s="1703"/>
      <c r="J23" s="1703"/>
      <c r="K23" s="1703"/>
      <c r="L23" s="1703"/>
      <c r="M23" s="1702"/>
      <c r="N23" s="1702">
        <f t="shared" si="0"/>
        <v>0</v>
      </c>
      <c r="O23" s="1704" t="str">
        <f t="shared" si="1"/>
        <v/>
      </c>
      <c r="P23" s="1705">
        <f t="shared" si="2"/>
        <v>0</v>
      </c>
      <c r="Q23" s="1706"/>
      <c r="R23" s="1706"/>
    </row>
    <row r="24" spans="1:18">
      <c r="A24" s="1699" t="str">
        <f>+A23</f>
        <v>5. 11.10.30   Otros Activos No Financieros Corrientes</v>
      </c>
      <c r="B24" s="1700"/>
      <c r="C24" s="1700" t="str">
        <f>+'Bce Clasificado 31.12.2024'!B33</f>
        <v>1-1-06-002 Boletas en Garantias</v>
      </c>
      <c r="D24" s="1701">
        <f>+'Bce Clasificado 31.12.2024'!D33</f>
        <v>4000000</v>
      </c>
      <c r="E24" s="1702" t="str">
        <f t="shared" si="3"/>
        <v/>
      </c>
      <c r="F24" s="1702"/>
      <c r="G24" s="1702"/>
      <c r="H24" s="1702"/>
      <c r="I24" s="1703"/>
      <c r="J24" s="1703"/>
      <c r="K24" s="1703"/>
      <c r="L24" s="1703"/>
      <c r="M24" s="1702"/>
      <c r="N24" s="1702">
        <f t="shared" si="0"/>
        <v>0</v>
      </c>
      <c r="O24" s="1704" t="str">
        <f t="shared" si="1"/>
        <v/>
      </c>
      <c r="P24" s="1705">
        <f t="shared" si="2"/>
        <v>0</v>
      </c>
      <c r="Q24" s="1706"/>
      <c r="R24" s="1706"/>
    </row>
    <row r="25" spans="1:18">
      <c r="A25" s="1699" t="str">
        <f t="shared" ref="A25:A27" si="6">+A24</f>
        <v>5. 11.10.30   Otros Activos No Financieros Corrientes</v>
      </c>
      <c r="B25" s="1700"/>
      <c r="C25" s="1700" t="str">
        <f>+'Bce Clasificado 31.12.2024'!B34</f>
        <v>1-1-06-003 Gastos Anticipados por Arriendos Anticipados</v>
      </c>
      <c r="D25" s="1701">
        <f>+'Bce Clasificado 31.12.2024'!D34</f>
        <v>5000000</v>
      </c>
      <c r="E25" s="1702" t="str">
        <f t="shared" si="3"/>
        <v/>
      </c>
      <c r="F25" s="1702"/>
      <c r="G25" s="1702"/>
      <c r="H25" s="1702"/>
      <c r="I25" s="1703"/>
      <c r="J25" s="1703"/>
      <c r="K25" s="1703"/>
      <c r="L25" s="1703"/>
      <c r="M25" s="1702"/>
      <c r="N25" s="1702">
        <f t="shared" si="0"/>
        <v>0</v>
      </c>
      <c r="O25" s="1704" t="str">
        <f t="shared" si="1"/>
        <v/>
      </c>
      <c r="P25" s="1705">
        <f t="shared" si="2"/>
        <v>0</v>
      </c>
      <c r="Q25" s="1706"/>
      <c r="R25" s="1706"/>
    </row>
    <row r="26" spans="1:18">
      <c r="A26" s="1699" t="str">
        <f t="shared" si="6"/>
        <v>5. 11.10.30   Otros Activos No Financieros Corrientes</v>
      </c>
      <c r="B26" s="1700"/>
      <c r="C26" s="1700" t="str">
        <f>+'Bce Clasificado 31.12.2024'!B35</f>
        <v>1-1-06-004 Gastos Anticipados Acceso a Internet</v>
      </c>
      <c r="D26" s="1701">
        <f>+'Bce Clasificado 31.12.2024'!D35</f>
        <v>5000000</v>
      </c>
      <c r="E26" s="1702" t="str">
        <f t="shared" si="3"/>
        <v/>
      </c>
      <c r="F26" s="1702"/>
      <c r="G26" s="1702"/>
      <c r="H26" s="1702"/>
      <c r="I26" s="1703"/>
      <c r="J26" s="1703"/>
      <c r="K26" s="1703"/>
      <c r="L26" s="1703"/>
      <c r="M26" s="1702"/>
      <c r="N26" s="1702">
        <f t="shared" si="0"/>
        <v>0</v>
      </c>
      <c r="O26" s="1704" t="str">
        <f t="shared" si="1"/>
        <v/>
      </c>
      <c r="P26" s="1705">
        <f t="shared" si="2"/>
        <v>0</v>
      </c>
      <c r="Q26" s="1706"/>
      <c r="R26" s="1706"/>
    </row>
    <row r="27" spans="1:18">
      <c r="A27" s="1699" t="str">
        <f t="shared" si="6"/>
        <v>5. 11.10.30   Otros Activos No Financieros Corrientes</v>
      </c>
      <c r="B27" s="1700"/>
      <c r="C27" s="1700" t="str">
        <f>+'Bce Clasificado 31.12.2024'!B36</f>
        <v>1-1-06-005 Gastos Anticipados Correo</v>
      </c>
      <c r="D27" s="1701">
        <f>+'Bce Clasificado 31.12.2024'!D36</f>
        <v>10000000</v>
      </c>
      <c r="E27" s="1702" t="str">
        <f t="shared" si="3"/>
        <v/>
      </c>
      <c r="F27" s="1702"/>
      <c r="G27" s="1702"/>
      <c r="H27" s="1702"/>
      <c r="I27" s="1703"/>
      <c r="J27" s="1703"/>
      <c r="K27" s="1703"/>
      <c r="L27" s="1703"/>
      <c r="M27" s="1702"/>
      <c r="N27" s="1702">
        <f t="shared" si="0"/>
        <v>0</v>
      </c>
      <c r="O27" s="1704" t="str">
        <f t="shared" si="1"/>
        <v/>
      </c>
      <c r="P27" s="1705">
        <f t="shared" si="2"/>
        <v>0</v>
      </c>
      <c r="Q27" s="1706"/>
      <c r="R27" s="1706"/>
    </row>
    <row r="28" spans="1:18">
      <c r="A28" s="1699" t="str">
        <f>+'Bce Clasificado 31.12.2024'!B47</f>
        <v>5. 11.10.40   Deudores Comerciales y Otras Cuentas por Cobrar</v>
      </c>
      <c r="B28" s="1700"/>
      <c r="C28" s="1700" t="str">
        <f>+'Bce Clasificado 31.12.2024'!B39</f>
        <v xml:space="preserve">1-1-09-001 Cuentas por Cobrar </v>
      </c>
      <c r="D28" s="1701">
        <f>+'Bce Clasificado 31.12.2024'!D39</f>
        <v>40000000</v>
      </c>
      <c r="E28" s="1702">
        <f t="shared" si="3"/>
        <v>1</v>
      </c>
      <c r="F28" s="1702"/>
      <c r="G28" s="1702"/>
      <c r="H28" s="1702"/>
      <c r="I28" s="1703"/>
      <c r="J28" s="1703"/>
      <c r="K28" s="1703"/>
      <c r="L28" s="1703"/>
      <c r="M28" s="1702"/>
      <c r="N28" s="1702">
        <f t="shared" si="0"/>
        <v>1</v>
      </c>
      <c r="O28" s="1704" t="str">
        <f t="shared" si="1"/>
        <v>Ok</v>
      </c>
      <c r="P28" s="1705">
        <f t="shared" si="2"/>
        <v>1</v>
      </c>
      <c r="Q28" s="1706" t="s">
        <v>1713</v>
      </c>
      <c r="R28" s="1706" t="s">
        <v>1714</v>
      </c>
    </row>
    <row r="29" spans="1:18">
      <c r="A29" s="1699" t="str">
        <f>+A28</f>
        <v>5. 11.10.40   Deudores Comerciales y Otras Cuentas por Cobrar</v>
      </c>
      <c r="B29" s="1700"/>
      <c r="C29" s="1700" t="str">
        <f>+'Bce Clasificado 31.12.2024'!B40</f>
        <v>1-1-09-002 Documentos por Cobrar</v>
      </c>
      <c r="D29" s="1701">
        <f>+'Bce Clasificado 31.12.2024'!D40</f>
        <v>50000000</v>
      </c>
      <c r="E29" s="1702">
        <f t="shared" si="3"/>
        <v>1</v>
      </c>
      <c r="F29" s="1702"/>
      <c r="G29" s="1702"/>
      <c r="H29" s="1702"/>
      <c r="I29" s="1703"/>
      <c r="J29" s="1703"/>
      <c r="K29" s="1703"/>
      <c r="L29" s="1703"/>
      <c r="M29" s="1702"/>
      <c r="N29" s="1702">
        <f t="shared" si="0"/>
        <v>1</v>
      </c>
      <c r="O29" s="1704" t="str">
        <f t="shared" si="1"/>
        <v>Ok</v>
      </c>
      <c r="P29" s="1705">
        <f t="shared" si="2"/>
        <v>1</v>
      </c>
      <c r="Q29" s="1706" t="s">
        <v>1713</v>
      </c>
      <c r="R29" s="1706" t="s">
        <v>1714</v>
      </c>
    </row>
    <row r="30" spans="1:18">
      <c r="A30" s="1699" t="str">
        <f t="shared" ref="A30:A35" si="7">+A29</f>
        <v>5. 11.10.40   Deudores Comerciales y Otras Cuentas por Cobrar</v>
      </c>
      <c r="B30" s="1700"/>
      <c r="C30" s="1700" t="str">
        <f>+'Bce Clasificado 31.12.2024'!B41</f>
        <v xml:space="preserve">1-1-09-003 Préstamos por Cambio de Residencia </v>
      </c>
      <c r="D30" s="1701">
        <f>+'Bce Clasificado 31.12.2024'!D41</f>
        <v>124000000</v>
      </c>
      <c r="E30" s="1702">
        <f t="shared" si="3"/>
        <v>1</v>
      </c>
      <c r="F30" s="1702"/>
      <c r="G30" s="1702"/>
      <c r="H30" s="1702"/>
      <c r="I30" s="1703"/>
      <c r="J30" s="1703"/>
      <c r="K30" s="1703"/>
      <c r="L30" s="1703"/>
      <c r="M30" s="1702"/>
      <c r="N30" s="1702">
        <f t="shared" si="0"/>
        <v>1</v>
      </c>
      <c r="O30" s="1704" t="str">
        <f t="shared" si="1"/>
        <v>Ok</v>
      </c>
      <c r="P30" s="1705">
        <f t="shared" si="2"/>
        <v>1</v>
      </c>
      <c r="Q30" s="1706" t="s">
        <v>1713</v>
      </c>
      <c r="R30" s="1706" t="s">
        <v>1714</v>
      </c>
    </row>
    <row r="31" spans="1:18">
      <c r="A31" s="1699" t="str">
        <f t="shared" si="7"/>
        <v>5. 11.10.40   Deudores Comerciales y Otras Cuentas por Cobrar</v>
      </c>
      <c r="B31" s="1700"/>
      <c r="C31" s="1700" t="str">
        <f>+'Bce Clasificado 31.12.2024'!B42</f>
        <v>1-1-09-004 Documentos Protestados</v>
      </c>
      <c r="D31" s="1701">
        <f>+'Bce Clasificado 31.12.2024'!D42</f>
        <v>30000000</v>
      </c>
      <c r="E31" s="1702">
        <f t="shared" si="3"/>
        <v>1</v>
      </c>
      <c r="F31" s="1702"/>
      <c r="G31" s="1702"/>
      <c r="H31" s="1702"/>
      <c r="I31" s="1703"/>
      <c r="J31" s="1703"/>
      <c r="K31" s="1703"/>
      <c r="L31" s="1703"/>
      <c r="M31" s="1702"/>
      <c r="N31" s="1702">
        <f t="shared" si="0"/>
        <v>1</v>
      </c>
      <c r="O31" s="1704" t="str">
        <f t="shared" si="1"/>
        <v>Ok</v>
      </c>
      <c r="P31" s="1705">
        <f t="shared" si="2"/>
        <v>1</v>
      </c>
      <c r="Q31" s="1706" t="s">
        <v>1713</v>
      </c>
      <c r="R31" s="1706" t="s">
        <v>1714</v>
      </c>
    </row>
    <row r="32" spans="1:18">
      <c r="A32" s="1699" t="str">
        <f t="shared" si="7"/>
        <v>5. 11.10.40   Deudores Comerciales y Otras Cuentas por Cobrar</v>
      </c>
      <c r="B32" s="1700"/>
      <c r="C32" s="1700" t="str">
        <f>+'Bce Clasificado 31.12.2024'!B43</f>
        <v>1-1-09-005 Fondos por Rendir</v>
      </c>
      <c r="D32" s="1701">
        <f>+'Bce Clasificado 31.12.2024'!D43</f>
        <v>40000000</v>
      </c>
      <c r="E32" s="1702">
        <f t="shared" si="3"/>
        <v>1</v>
      </c>
      <c r="F32" s="1702"/>
      <c r="G32" s="1702"/>
      <c r="H32" s="1702"/>
      <c r="I32" s="1703"/>
      <c r="J32" s="1703"/>
      <c r="K32" s="1703"/>
      <c r="L32" s="1703"/>
      <c r="M32" s="1702"/>
      <c r="N32" s="1702">
        <f t="shared" si="0"/>
        <v>1</v>
      </c>
      <c r="O32" s="1704" t="str">
        <f t="shared" si="1"/>
        <v>Ok</v>
      </c>
      <c r="P32" s="1705">
        <f t="shared" si="2"/>
        <v>1</v>
      </c>
      <c r="Q32" s="1706" t="s">
        <v>1713</v>
      </c>
      <c r="R32" s="1706" t="s">
        <v>1714</v>
      </c>
    </row>
    <row r="33" spans="1:18">
      <c r="A33" s="1699" t="str">
        <f t="shared" si="7"/>
        <v>5. 11.10.40   Deudores Comerciales y Otras Cuentas por Cobrar</v>
      </c>
      <c r="B33" s="1700"/>
      <c r="C33" s="1700" t="str">
        <f>+'Bce Clasificado 31.12.2024'!B44</f>
        <v>1-1-09-006 Clientes</v>
      </c>
      <c r="D33" s="1701">
        <f>+'Bce Clasificado 31.12.2024'!D44</f>
        <v>300210000</v>
      </c>
      <c r="E33" s="1702">
        <f t="shared" si="3"/>
        <v>1</v>
      </c>
      <c r="F33" s="1702"/>
      <c r="G33" s="1702">
        <v>1</v>
      </c>
      <c r="H33" s="1702"/>
      <c r="I33" s="1703"/>
      <c r="J33" s="1703"/>
      <c r="K33" s="1703"/>
      <c r="L33" s="1703"/>
      <c r="M33" s="1702"/>
      <c r="N33" s="1702">
        <f t="shared" si="0"/>
        <v>2</v>
      </c>
      <c r="O33" s="1704" t="str">
        <f t="shared" si="1"/>
        <v>Ok</v>
      </c>
      <c r="P33" s="1705">
        <f t="shared" si="2"/>
        <v>1</v>
      </c>
      <c r="Q33" s="1706" t="s">
        <v>1713</v>
      </c>
      <c r="R33" s="1706" t="s">
        <v>1714</v>
      </c>
    </row>
    <row r="34" spans="1:18">
      <c r="A34" s="1699" t="str">
        <f t="shared" si="7"/>
        <v>5. 11.10.40   Deudores Comerciales y Otras Cuentas por Cobrar</v>
      </c>
      <c r="B34" s="1700"/>
      <c r="C34" s="1700" t="str">
        <f>+'Bce Clasificado 31.12.2024'!B45</f>
        <v>1-1-09-007 Deterioro Acumulado de Cuentas por Cobrar</v>
      </c>
      <c r="D34" s="1701">
        <f>+'Bce Clasificado 31.12.2024'!D45</f>
        <v>-39021000</v>
      </c>
      <c r="E34" s="1702">
        <f t="shared" si="3"/>
        <v>1</v>
      </c>
      <c r="F34" s="1702"/>
      <c r="G34" s="1702"/>
      <c r="H34" s="1702"/>
      <c r="I34" s="1703"/>
      <c r="J34" s="1703"/>
      <c r="K34" s="1703"/>
      <c r="L34" s="1703"/>
      <c r="M34" s="1702"/>
      <c r="N34" s="1702">
        <f t="shared" si="0"/>
        <v>1</v>
      </c>
      <c r="O34" s="1704" t="str">
        <f t="shared" si="1"/>
        <v>Ok</v>
      </c>
      <c r="P34" s="1705">
        <f t="shared" si="2"/>
        <v>1</v>
      </c>
      <c r="Q34" s="1706" t="s">
        <v>1713</v>
      </c>
      <c r="R34" s="1706" t="s">
        <v>1714</v>
      </c>
    </row>
    <row r="35" spans="1:18">
      <c r="A35" s="1699" t="str">
        <f t="shared" si="7"/>
        <v>5. 11.10.40   Deudores Comerciales y Otras Cuentas por Cobrar</v>
      </c>
      <c r="B35" s="1700"/>
      <c r="C35" s="1700" t="str">
        <f>+'Bce Clasificado 31.12.2024'!B46</f>
        <v>1-1-09-008 Anticipos de Deudores</v>
      </c>
      <c r="D35" s="1701">
        <f>+'Bce Clasificado 31.12.2024'!D46</f>
        <v>-20000000</v>
      </c>
      <c r="E35" s="1702">
        <f t="shared" si="3"/>
        <v>1</v>
      </c>
      <c r="F35" s="1702"/>
      <c r="G35" s="1702"/>
      <c r="H35" s="1702"/>
      <c r="I35" s="1703"/>
      <c r="J35" s="1703"/>
      <c r="K35" s="1703"/>
      <c r="L35" s="1703"/>
      <c r="M35" s="1702"/>
      <c r="N35" s="1702">
        <f t="shared" si="0"/>
        <v>1</v>
      </c>
      <c r="O35" s="1704" t="str">
        <f t="shared" si="1"/>
        <v>Ok</v>
      </c>
      <c r="P35" s="1705">
        <f t="shared" si="2"/>
        <v>1</v>
      </c>
      <c r="Q35" s="1706" t="s">
        <v>1713</v>
      </c>
      <c r="R35" s="1706" t="s">
        <v>1714</v>
      </c>
    </row>
    <row r="36" spans="1:18">
      <c r="A36" s="1699" t="str">
        <f>+'Bce Clasificado 31.12.2024'!B54</f>
        <v>5. 11.10.80   Inventario</v>
      </c>
      <c r="B36" s="1700"/>
      <c r="C36" s="1700" t="str">
        <f>+'Bce Clasificado 31.12.2024'!B51</f>
        <v xml:space="preserve">1-1-12-001 Productos Terminados </v>
      </c>
      <c r="D36" s="1707">
        <f>+'Bce Clasificado 31.12.2024'!D51</f>
        <v>300000000</v>
      </c>
      <c r="E36" s="1702">
        <f t="shared" si="3"/>
        <v>1</v>
      </c>
      <c r="F36" s="1702"/>
      <c r="G36" s="1702"/>
      <c r="H36" s="1702"/>
      <c r="I36" s="1703"/>
      <c r="J36" s="1703"/>
      <c r="K36" s="1703"/>
      <c r="L36" s="1703"/>
      <c r="M36" s="1702"/>
      <c r="N36" s="1702">
        <f t="shared" si="0"/>
        <v>1</v>
      </c>
      <c r="O36" s="1704" t="str">
        <f t="shared" si="1"/>
        <v>Ok</v>
      </c>
      <c r="P36" s="1705">
        <f t="shared" si="2"/>
        <v>1</v>
      </c>
      <c r="Q36" s="1706" t="s">
        <v>1713</v>
      </c>
      <c r="R36" s="1706" t="s">
        <v>1714</v>
      </c>
    </row>
    <row r="37" spans="1:18">
      <c r="A37" s="1699" t="str">
        <f>+A36</f>
        <v>5. 11.10.80   Inventario</v>
      </c>
      <c r="B37" s="1700"/>
      <c r="C37" s="1700" t="str">
        <f>+'Bce Clasificado 31.12.2024'!B52</f>
        <v xml:space="preserve">1-1-12-002 Existencias de Materias Primas </v>
      </c>
      <c r="D37" s="1707">
        <f>+'Bce Clasificado 31.12.2024'!D52</f>
        <v>400000000</v>
      </c>
      <c r="E37" s="1702">
        <f t="shared" si="3"/>
        <v>1</v>
      </c>
      <c r="F37" s="1702"/>
      <c r="G37" s="1702"/>
      <c r="H37" s="1702"/>
      <c r="I37" s="1703"/>
      <c r="J37" s="1703"/>
      <c r="K37" s="1703"/>
      <c r="L37" s="1703"/>
      <c r="M37" s="1702"/>
      <c r="N37" s="1702">
        <f t="shared" si="0"/>
        <v>1</v>
      </c>
      <c r="O37" s="1704" t="str">
        <f t="shared" si="1"/>
        <v>Ok</v>
      </c>
      <c r="P37" s="1705">
        <f t="shared" si="2"/>
        <v>1</v>
      </c>
      <c r="Q37" s="1706" t="s">
        <v>1713</v>
      </c>
      <c r="R37" s="1706" t="s">
        <v>1714</v>
      </c>
    </row>
    <row r="38" spans="1:18">
      <c r="A38" s="1699" t="str">
        <f>+A37</f>
        <v>5. 11.10.80   Inventario</v>
      </c>
      <c r="B38" s="1700"/>
      <c r="C38" s="1700" t="str">
        <f>+'Bce Clasificado 31.12.2024'!B53</f>
        <v xml:space="preserve">1-1-12-003 Existencia de Productos Elaborados </v>
      </c>
      <c r="D38" s="1707">
        <f>+'Bce Clasificado 31.12.2024'!D53</f>
        <v>65550000</v>
      </c>
      <c r="E38" s="1702">
        <f t="shared" si="3"/>
        <v>1</v>
      </c>
      <c r="F38" s="1702"/>
      <c r="G38" s="1702"/>
      <c r="H38" s="1702"/>
      <c r="I38" s="1703"/>
      <c r="J38" s="1703"/>
      <c r="K38" s="1703"/>
      <c r="L38" s="1703"/>
      <c r="M38" s="1702"/>
      <c r="N38" s="1702">
        <f t="shared" si="0"/>
        <v>1</v>
      </c>
      <c r="O38" s="1704" t="str">
        <f t="shared" si="1"/>
        <v>Ok</v>
      </c>
      <c r="P38" s="1705">
        <f t="shared" si="2"/>
        <v>1</v>
      </c>
      <c r="Q38" s="1706" t="s">
        <v>1713</v>
      </c>
      <c r="R38" s="1706" t="s">
        <v>1714</v>
      </c>
    </row>
    <row r="39" spans="1:18">
      <c r="A39" s="1699" t="str">
        <f>+'Bce Clasificado 31.12.2024'!B59</f>
        <v>5. 11.10.90   Activos por Impuestos Corrientes</v>
      </c>
      <c r="B39" s="1700"/>
      <c r="C39" s="1700" t="str">
        <f>+'Bce Clasificado 31.12.2024'!B56</f>
        <v>1-1-15-001 Pagos Provisionales Mensuales</v>
      </c>
      <c r="D39" s="1701">
        <f>+'Bce Clasificado 31.12.2024'!D56</f>
        <v>134629000</v>
      </c>
      <c r="E39" s="1702">
        <f t="shared" si="3"/>
        <v>1</v>
      </c>
      <c r="F39" s="1702"/>
      <c r="G39" s="1702"/>
      <c r="H39" s="1702"/>
      <c r="I39" s="1703"/>
      <c r="J39" s="1703"/>
      <c r="K39" s="1703"/>
      <c r="L39" s="1703"/>
      <c r="M39" s="1702"/>
      <c r="N39" s="1702">
        <f t="shared" si="0"/>
        <v>1</v>
      </c>
      <c r="O39" s="1704" t="str">
        <f t="shared" si="1"/>
        <v>Ok</v>
      </c>
      <c r="P39" s="1705">
        <f t="shared" si="2"/>
        <v>1</v>
      </c>
      <c r="Q39" s="1706" t="s">
        <v>1713</v>
      </c>
      <c r="R39" s="1706" t="s">
        <v>1714</v>
      </c>
    </row>
    <row r="40" spans="1:18">
      <c r="A40" s="1699" t="str">
        <f>+A39</f>
        <v>5. 11.10.90   Activos por Impuestos Corrientes</v>
      </c>
      <c r="B40" s="1700"/>
      <c r="C40" s="1700" t="str">
        <f>+'Bce Clasificado 31.12.2024'!B57</f>
        <v>1-1-15-002 Crédito Activo Fijo</v>
      </c>
      <c r="D40" s="1701">
        <f>+'Bce Clasificado 31.12.2024'!D57</f>
        <v>15000000</v>
      </c>
      <c r="E40" s="1702" t="str">
        <f t="shared" si="3"/>
        <v/>
      </c>
      <c r="F40" s="1702"/>
      <c r="G40" s="1702"/>
      <c r="H40" s="1702"/>
      <c r="I40" s="1703"/>
      <c r="J40" s="1703"/>
      <c r="K40" s="1703"/>
      <c r="L40" s="1703"/>
      <c r="M40" s="1702"/>
      <c r="N40" s="1702">
        <f t="shared" si="0"/>
        <v>0</v>
      </c>
      <c r="O40" s="1704" t="str">
        <f t="shared" si="1"/>
        <v/>
      </c>
      <c r="P40" s="1705">
        <f t="shared" si="2"/>
        <v>0</v>
      </c>
      <c r="Q40" s="1706"/>
      <c r="R40" s="1706"/>
    </row>
    <row r="41" spans="1:18">
      <c r="A41" s="1699" t="str">
        <f>+A40</f>
        <v>5. 11.10.90   Activos por Impuestos Corrientes</v>
      </c>
      <c r="B41" s="1700"/>
      <c r="C41" s="1700" t="str">
        <f>+'Bce Clasificado 31.12.2024'!B58</f>
        <v>1-1-15-003 Crédito Sence</v>
      </c>
      <c r="D41" s="1701">
        <f>+'Bce Clasificado 31.12.2024'!D58</f>
        <v>3000000</v>
      </c>
      <c r="E41" s="1702" t="str">
        <f t="shared" si="3"/>
        <v/>
      </c>
      <c r="F41" s="1702"/>
      <c r="G41" s="1702"/>
      <c r="H41" s="1702"/>
      <c r="I41" s="1703"/>
      <c r="J41" s="1703"/>
      <c r="K41" s="1703"/>
      <c r="L41" s="1703"/>
      <c r="M41" s="1702"/>
      <c r="N41" s="1702">
        <f t="shared" si="0"/>
        <v>0</v>
      </c>
      <c r="O41" s="1704" t="str">
        <f t="shared" si="1"/>
        <v/>
      </c>
      <c r="P41" s="1705">
        <f t="shared" si="2"/>
        <v>0</v>
      </c>
      <c r="Q41" s="1706"/>
      <c r="R41" s="1706"/>
    </row>
    <row r="42" spans="1:18">
      <c r="A42" s="1699" t="str">
        <f>+'Bce Clasificado 31.12.2024'!B62</f>
        <v>5. 11.20.10   Activos Biologicos Corrientes</v>
      </c>
      <c r="B42" s="1700"/>
      <c r="C42" s="1708" t="str">
        <f>+'Bce Clasificado 31.12.2024'!B61</f>
        <v>1-1-13-001 Animales Vivos</v>
      </c>
      <c r="D42" s="1701">
        <f>+'Bce Clasificado 31.12.2024'!D61</f>
        <v>94760000</v>
      </c>
      <c r="E42" s="1702">
        <f t="shared" si="3"/>
        <v>1</v>
      </c>
      <c r="F42" s="1702"/>
      <c r="G42" s="1702"/>
      <c r="H42" s="1702"/>
      <c r="I42" s="1703"/>
      <c r="J42" s="1703"/>
      <c r="K42" s="1703"/>
      <c r="L42" s="1703"/>
      <c r="M42" s="1702"/>
      <c r="N42" s="1702">
        <f t="shared" si="0"/>
        <v>1</v>
      </c>
      <c r="O42" s="1704" t="str">
        <f t="shared" si="1"/>
        <v>Ok</v>
      </c>
      <c r="P42" s="1705">
        <f t="shared" si="2"/>
        <v>1</v>
      </c>
      <c r="Q42" s="1706" t="s">
        <v>1713</v>
      </c>
      <c r="R42" s="1706" t="s">
        <v>1714</v>
      </c>
    </row>
    <row r="43" spans="1:18" s="1869" customFormat="1">
      <c r="A43" s="1991" t="str">
        <f>+'Bce Clasificado 31.12.2024'!B85</f>
        <v>5. 13.10.50   Inversiones por el metodo de la participación</v>
      </c>
      <c r="B43" s="1992"/>
      <c r="C43" s="1993" t="str">
        <f>+A43</f>
        <v>5. 13.10.50   Inversiones por el metodo de la participación</v>
      </c>
      <c r="D43" s="1994">
        <f>+'Bce Clasificado 31.12.2024'!D85</f>
        <v>920250000</v>
      </c>
      <c r="E43" s="1995">
        <f t="shared" si="3"/>
        <v>1</v>
      </c>
      <c r="F43" s="1995"/>
      <c r="G43" s="1995"/>
      <c r="H43" s="1995"/>
      <c r="I43" s="1996"/>
      <c r="J43" s="1996"/>
      <c r="K43" s="1996"/>
      <c r="L43" s="1996">
        <v>1</v>
      </c>
      <c r="M43" s="1995"/>
      <c r="N43" s="1995">
        <f t="shared" si="0"/>
        <v>2</v>
      </c>
      <c r="O43" s="1997" t="str">
        <f t="shared" si="1"/>
        <v>Ok</v>
      </c>
      <c r="P43" s="1998">
        <f t="shared" si="2"/>
        <v>1</v>
      </c>
      <c r="Q43" s="1706" t="s">
        <v>1713</v>
      </c>
      <c r="R43" s="1706" t="s">
        <v>1714</v>
      </c>
    </row>
    <row r="44" spans="1:18">
      <c r="A44" s="1699" t="str">
        <f>+'Bce Clasificado 31.12.2024'!B91</f>
        <v>5. 13.10.60   Activos Intangibles</v>
      </c>
      <c r="B44" s="1700"/>
      <c r="C44" s="1708" t="str">
        <f>+'Bce Clasificado 31.12.2024'!B87</f>
        <v>1-2-03-001 Software Contable</v>
      </c>
      <c r="D44" s="1701">
        <f>+'Bce Clasificado 31.12.2024'!D87</f>
        <v>1500000</v>
      </c>
      <c r="E44" s="1702" t="str">
        <f t="shared" si="3"/>
        <v/>
      </c>
      <c r="F44" s="1702"/>
      <c r="G44" s="1702"/>
      <c r="H44" s="1702"/>
      <c r="I44" s="1703"/>
      <c r="J44" s="1703"/>
      <c r="K44" s="1703"/>
      <c r="L44" s="1703"/>
      <c r="M44" s="1702"/>
      <c r="N44" s="1702">
        <f t="shared" si="0"/>
        <v>0</v>
      </c>
      <c r="O44" s="1704" t="str">
        <f t="shared" si="1"/>
        <v/>
      </c>
      <c r="P44" s="1705">
        <f t="shared" si="2"/>
        <v>0</v>
      </c>
      <c r="Q44" s="1706"/>
      <c r="R44" s="1706"/>
    </row>
    <row r="45" spans="1:18">
      <c r="A45" s="1699" t="str">
        <f>+A44</f>
        <v>5. 13.10.60   Activos Intangibles</v>
      </c>
      <c r="B45" s="1700"/>
      <c r="C45" s="1708" t="str">
        <f>+'Bce Clasificado 31.12.2024'!B88</f>
        <v>1-2-03-002 Derechos de Agua</v>
      </c>
      <c r="D45" s="1701">
        <f>+'Bce Clasificado 31.12.2024'!D88</f>
        <v>1</v>
      </c>
      <c r="E45" s="1702" t="str">
        <f t="shared" si="3"/>
        <v/>
      </c>
      <c r="F45" s="1702"/>
      <c r="G45" s="1702"/>
      <c r="H45" s="1702"/>
      <c r="I45" s="1703"/>
      <c r="J45" s="1703"/>
      <c r="K45" s="1703"/>
      <c r="L45" s="1703"/>
      <c r="M45" s="1702"/>
      <c r="N45" s="1702">
        <f t="shared" si="0"/>
        <v>0</v>
      </c>
      <c r="O45" s="1704" t="str">
        <f t="shared" si="1"/>
        <v/>
      </c>
      <c r="P45" s="1705">
        <f t="shared" si="2"/>
        <v>0</v>
      </c>
      <c r="Q45" s="1706"/>
      <c r="R45" s="1706"/>
    </row>
    <row r="46" spans="1:18">
      <c r="A46" s="1699" t="str">
        <f t="shared" ref="A46:A47" si="8">+A45</f>
        <v>5. 13.10.60   Activos Intangibles</v>
      </c>
      <c r="B46" s="1700"/>
      <c r="C46" s="1708" t="str">
        <f>+'Bce Clasificado 31.12.2024'!B89</f>
        <v>1-2-03-003 Servidumbre de Paso</v>
      </c>
      <c r="D46" s="1701">
        <f>+'Bce Clasificado 31.12.2024'!D89</f>
        <v>7000000</v>
      </c>
      <c r="E46" s="1702" t="str">
        <f t="shared" si="3"/>
        <v/>
      </c>
      <c r="F46" s="1702"/>
      <c r="G46" s="1702"/>
      <c r="H46" s="1702"/>
      <c r="I46" s="1703"/>
      <c r="J46" s="1703"/>
      <c r="K46" s="1703"/>
      <c r="L46" s="1703"/>
      <c r="M46" s="1702"/>
      <c r="N46" s="1702">
        <f t="shared" si="0"/>
        <v>0</v>
      </c>
      <c r="O46" s="1704" t="str">
        <f t="shared" si="1"/>
        <v/>
      </c>
      <c r="P46" s="1705">
        <f t="shared" si="2"/>
        <v>0</v>
      </c>
      <c r="Q46" s="1706"/>
      <c r="R46" s="1706"/>
    </row>
    <row r="47" spans="1:18">
      <c r="A47" s="1699" t="str">
        <f t="shared" si="8"/>
        <v>5. 13.10.60   Activos Intangibles</v>
      </c>
      <c r="B47" s="1700"/>
      <c r="C47" s="1708" t="str">
        <f>+'Bce Clasificado 31.12.2024'!B90</f>
        <v>1-2-03-004 Marca Colegio de Contadores</v>
      </c>
      <c r="D47" s="1701">
        <f>+'Bce Clasificado 31.12.2024'!D90</f>
        <v>0</v>
      </c>
      <c r="E47" s="1702" t="str">
        <f t="shared" si="3"/>
        <v/>
      </c>
      <c r="F47" s="1702"/>
      <c r="G47" s="1702"/>
      <c r="H47" s="1702"/>
      <c r="I47" s="1703"/>
      <c r="J47" s="1703"/>
      <c r="K47" s="1703"/>
      <c r="L47" s="1703"/>
      <c r="M47" s="1702"/>
      <c r="N47" s="1702">
        <f t="shared" si="0"/>
        <v>0</v>
      </c>
      <c r="O47" s="1704" t="str">
        <f t="shared" si="1"/>
        <v/>
      </c>
      <c r="P47" s="1705">
        <f t="shared" si="2"/>
        <v>0</v>
      </c>
      <c r="Q47" s="1706"/>
      <c r="R47" s="1706"/>
    </row>
    <row r="48" spans="1:18">
      <c r="A48" s="1699" t="str">
        <f>+'Bce Clasificado 31.12.2024'!B95</f>
        <v>5. 13.10.65   Plusvalia</v>
      </c>
      <c r="B48" s="1700"/>
      <c r="C48" s="1708" t="str">
        <f>+A48</f>
        <v>5. 13.10.65   Plusvalia</v>
      </c>
      <c r="D48" s="1701">
        <f>+'Bce Clasificado 31.12.2024'!D95</f>
        <v>35000000</v>
      </c>
      <c r="E48" s="1702">
        <f t="shared" si="3"/>
        <v>1</v>
      </c>
      <c r="F48" s="1702"/>
      <c r="G48" s="1702"/>
      <c r="H48" s="1702"/>
      <c r="I48" s="1703"/>
      <c r="J48" s="1703"/>
      <c r="K48" s="1703"/>
      <c r="L48" s="1703"/>
      <c r="M48" s="1702"/>
      <c r="N48" s="1702">
        <f t="shared" si="0"/>
        <v>1</v>
      </c>
      <c r="O48" s="1704" t="str">
        <f t="shared" si="1"/>
        <v>Ok</v>
      </c>
      <c r="P48" s="1705">
        <f t="shared" si="2"/>
        <v>1</v>
      </c>
      <c r="Q48" s="1706" t="s">
        <v>1713</v>
      </c>
      <c r="R48" s="1706" t="s">
        <v>1714</v>
      </c>
    </row>
    <row r="49" spans="1:18" s="1869" customFormat="1">
      <c r="A49" s="1991" t="str">
        <f>+'Bce Clasificado 31.12.2024'!B121</f>
        <v>5. 13.10.70   Propiedad, Planta y Equipo</v>
      </c>
      <c r="B49" s="1992"/>
      <c r="C49" s="1993" t="str">
        <f>+A49</f>
        <v>5. 13.10.70   Propiedad, Planta y Equipo</v>
      </c>
      <c r="D49" s="1994">
        <f>+'Bce Clasificado 31.12.2024'!D121</f>
        <v>1123000000</v>
      </c>
      <c r="E49" s="1995">
        <f t="shared" si="3"/>
        <v>1</v>
      </c>
      <c r="F49" s="1995"/>
      <c r="G49" s="1995"/>
      <c r="H49" s="1995"/>
      <c r="I49" s="1996"/>
      <c r="J49" s="1996"/>
      <c r="K49" s="1996"/>
      <c r="L49" s="1996"/>
      <c r="M49" s="1995"/>
      <c r="N49" s="1995">
        <f t="shared" si="0"/>
        <v>1</v>
      </c>
      <c r="O49" s="1997" t="str">
        <f t="shared" si="1"/>
        <v>Ok</v>
      </c>
      <c r="P49" s="1998">
        <f t="shared" si="2"/>
        <v>1</v>
      </c>
      <c r="Q49" s="1706" t="s">
        <v>1713</v>
      </c>
      <c r="R49" s="1706" t="s">
        <v>1714</v>
      </c>
    </row>
    <row r="50" spans="1:18">
      <c r="A50" s="1699" t="str">
        <f>+'Bce Clasificado 31.12.2024'!B127</f>
        <v>5. 13.10.80   Activos por derechos de Uso</v>
      </c>
      <c r="B50" s="1700"/>
      <c r="C50" s="1708" t="str">
        <f>+'Bce Clasificado 31.12.2024'!B123</f>
        <v>1-2-10-005 Activos en Leasing</v>
      </c>
      <c r="D50" s="1701">
        <f>+'Bce Clasificado 31.12.2024'!D123</f>
        <v>365463848</v>
      </c>
      <c r="E50" s="1702">
        <f t="shared" si="3"/>
        <v>1</v>
      </c>
      <c r="F50" s="1702"/>
      <c r="G50" s="1702"/>
      <c r="H50" s="1702"/>
      <c r="I50" s="1703"/>
      <c r="J50" s="1703"/>
      <c r="K50" s="1703"/>
      <c r="L50" s="1703"/>
      <c r="M50" s="1702"/>
      <c r="N50" s="1702">
        <f t="shared" si="0"/>
        <v>1</v>
      </c>
      <c r="O50" s="1704" t="str">
        <f t="shared" si="1"/>
        <v>Ok</v>
      </c>
      <c r="P50" s="1705">
        <f t="shared" si="2"/>
        <v>1</v>
      </c>
      <c r="Q50" s="1706" t="s">
        <v>1713</v>
      </c>
      <c r="R50" s="1706" t="s">
        <v>1714</v>
      </c>
    </row>
    <row r="51" spans="1:18">
      <c r="A51" s="1699" t="str">
        <f>+A50</f>
        <v>5. 13.10.80   Activos por derechos de Uso</v>
      </c>
      <c r="B51" s="1700"/>
      <c r="C51" s="1708" t="str">
        <f>+'Bce Clasificado 31.12.2024'!B124</f>
        <v>1-2-10-013 Dep. Acum. de Activos en Leasing</v>
      </c>
      <c r="D51" s="1701">
        <f>+'Bce Clasificado 31.12.2024'!D124</f>
        <v>-3767669</v>
      </c>
      <c r="E51" s="1702" t="str">
        <f t="shared" si="3"/>
        <v/>
      </c>
      <c r="F51" s="1702"/>
      <c r="G51" s="1702"/>
      <c r="H51" s="1702"/>
      <c r="I51" s="1703"/>
      <c r="J51" s="1703"/>
      <c r="K51" s="1703"/>
      <c r="L51" s="1703"/>
      <c r="M51" s="1702"/>
      <c r="N51" s="1702">
        <f t="shared" si="0"/>
        <v>0</v>
      </c>
      <c r="O51" s="1704" t="str">
        <f t="shared" si="1"/>
        <v/>
      </c>
      <c r="P51" s="1705">
        <f t="shared" si="2"/>
        <v>0</v>
      </c>
      <c r="Q51" s="1706"/>
      <c r="R51" s="1706"/>
    </row>
    <row r="52" spans="1:18">
      <c r="A52" s="1699" t="str">
        <f>+'Bce Clasificado 31.12.2024'!B130</f>
        <v>5. 13.10.90   Activos por Impuestos Diferidos</v>
      </c>
      <c r="B52" s="1700"/>
      <c r="C52" s="1708" t="str">
        <f>+A52</f>
        <v>5. 13.10.90   Activos por Impuestos Diferidos</v>
      </c>
      <c r="D52" s="1701">
        <f>+'Bce Clasificado 31.12.2024'!D129</f>
        <v>0</v>
      </c>
      <c r="E52" s="1702" t="str">
        <f t="shared" si="3"/>
        <v/>
      </c>
      <c r="F52" s="1702"/>
      <c r="G52" s="1702"/>
      <c r="H52" s="1702"/>
      <c r="I52" s="1703"/>
      <c r="J52" s="1703"/>
      <c r="K52" s="1703"/>
      <c r="L52" s="1703"/>
      <c r="M52" s="1702"/>
      <c r="N52" s="1702">
        <f t="shared" si="0"/>
        <v>0</v>
      </c>
      <c r="O52" s="1704" t="str">
        <f t="shared" si="1"/>
        <v/>
      </c>
      <c r="P52" s="1705">
        <f t="shared" si="2"/>
        <v>0</v>
      </c>
      <c r="Q52" s="1706"/>
      <c r="R52" s="1706"/>
    </row>
    <row r="53" spans="1:18">
      <c r="A53" s="1699" t="str">
        <f>+'Bce Clasificado 31.12.2024'!H19</f>
        <v>5. 21.10.10   Otros Pasivos Financieros Corrientes</v>
      </c>
      <c r="B53" s="1700"/>
      <c r="C53" s="1700" t="str">
        <f>+'Bce Clasificado 31.12.2024'!H14</f>
        <v>2-1-01-001 Préstamos bancarios</v>
      </c>
      <c r="D53" s="1701">
        <f>+'Bce Clasificado 31.12.2024'!J14</f>
        <v>420000000</v>
      </c>
      <c r="E53" s="1702">
        <f t="shared" si="3"/>
        <v>1</v>
      </c>
      <c r="F53" s="1702"/>
      <c r="G53" s="1702"/>
      <c r="H53" s="1702">
        <v>1</v>
      </c>
      <c r="I53" s="1703"/>
      <c r="J53" s="1703"/>
      <c r="K53" s="1703"/>
      <c r="L53" s="1703"/>
      <c r="M53" s="1702"/>
      <c r="N53" s="1702">
        <f t="shared" si="0"/>
        <v>2</v>
      </c>
      <c r="O53" s="1704" t="str">
        <f t="shared" si="1"/>
        <v>Ok</v>
      </c>
      <c r="P53" s="1705">
        <f t="shared" si="2"/>
        <v>1</v>
      </c>
      <c r="Q53" s="1706" t="s">
        <v>1713</v>
      </c>
      <c r="R53" s="1706" t="s">
        <v>1714</v>
      </c>
    </row>
    <row r="54" spans="1:18">
      <c r="A54" s="1699" t="str">
        <f>+A53</f>
        <v>5. 21.10.10   Otros Pasivos Financieros Corrientes</v>
      </c>
      <c r="B54" s="1700"/>
      <c r="C54" s="1700" t="str">
        <f>+'Bce Clasificado 31.12.2024'!H15</f>
        <v>2-1-01-002 L.C. Operacional Banco Santander</v>
      </c>
      <c r="D54" s="1701">
        <f>+'Bce Clasificado 31.12.2024'!J15</f>
        <v>40000000</v>
      </c>
      <c r="E54" s="1702">
        <f t="shared" si="3"/>
        <v>1</v>
      </c>
      <c r="F54" s="1702"/>
      <c r="G54" s="1702"/>
      <c r="H54" s="1702"/>
      <c r="I54" s="1703"/>
      <c r="J54" s="1703"/>
      <c r="K54" s="1703"/>
      <c r="L54" s="1703"/>
      <c r="M54" s="1702"/>
      <c r="N54" s="1702">
        <f t="shared" si="0"/>
        <v>1</v>
      </c>
      <c r="O54" s="1704" t="str">
        <f t="shared" si="1"/>
        <v>Ok</v>
      </c>
      <c r="P54" s="1705">
        <f t="shared" si="2"/>
        <v>1</v>
      </c>
      <c r="Q54" s="1706" t="s">
        <v>1713</v>
      </c>
      <c r="R54" s="1706" t="s">
        <v>1714</v>
      </c>
    </row>
    <row r="55" spans="1:18">
      <c r="A55" s="1699" t="str">
        <f t="shared" ref="A55:A57" si="9">+A54</f>
        <v>5. 21.10.10   Otros Pasivos Financieros Corrientes</v>
      </c>
      <c r="B55" s="1700"/>
      <c r="C55" s="1700" t="str">
        <f>+'Bce Clasificado 31.12.2024'!H16</f>
        <v>2-1-01-003 Obligación Banco Santander</v>
      </c>
      <c r="D55" s="1701">
        <f>+'Bce Clasificado 31.12.2024'!J16</f>
        <v>120000000</v>
      </c>
      <c r="E55" s="1702">
        <f t="shared" si="3"/>
        <v>1</v>
      </c>
      <c r="F55" s="1702"/>
      <c r="G55" s="1702"/>
      <c r="H55" s="1702">
        <v>1</v>
      </c>
      <c r="I55" s="1703"/>
      <c r="J55" s="1703"/>
      <c r="K55" s="1703"/>
      <c r="L55" s="1703"/>
      <c r="M55" s="1702"/>
      <c r="N55" s="1702">
        <f t="shared" si="0"/>
        <v>2</v>
      </c>
      <c r="O55" s="1704" t="str">
        <f t="shared" si="1"/>
        <v>Ok</v>
      </c>
      <c r="P55" s="1705">
        <f t="shared" si="2"/>
        <v>1</v>
      </c>
      <c r="Q55" s="1706" t="s">
        <v>1713</v>
      </c>
      <c r="R55" s="1706" t="s">
        <v>1714</v>
      </c>
    </row>
    <row r="56" spans="1:18">
      <c r="A56" s="1699" t="str">
        <f t="shared" si="9"/>
        <v>5. 21.10.10   Otros Pasivos Financieros Corrientes</v>
      </c>
      <c r="B56" s="1700"/>
      <c r="C56" s="1700" t="str">
        <f>+'Bce Clasificado 31.12.2024'!H17</f>
        <v>2-1-01-004 Obligaciones por leasing</v>
      </c>
      <c r="D56" s="1701">
        <f>+'Bce Clasificado 31.12.2024'!J17</f>
        <v>548449857</v>
      </c>
      <c r="E56" s="1702">
        <f t="shared" si="3"/>
        <v>1</v>
      </c>
      <c r="F56" s="1702"/>
      <c r="G56" s="1702"/>
      <c r="H56" s="1702"/>
      <c r="I56" s="1703"/>
      <c r="J56" s="1703"/>
      <c r="K56" s="1703"/>
      <c r="L56" s="1703"/>
      <c r="M56" s="1702"/>
      <c r="N56" s="1702">
        <f t="shared" si="0"/>
        <v>1</v>
      </c>
      <c r="O56" s="1704" t="str">
        <f t="shared" si="1"/>
        <v>Ok</v>
      </c>
      <c r="P56" s="1705">
        <f t="shared" si="2"/>
        <v>1</v>
      </c>
      <c r="Q56" s="1706" t="s">
        <v>1713</v>
      </c>
      <c r="R56" s="1706" t="s">
        <v>1714</v>
      </c>
    </row>
    <row r="57" spans="1:18">
      <c r="A57" s="1699" t="str">
        <f t="shared" si="9"/>
        <v>5. 21.10.10   Otros Pasivos Financieros Corrientes</v>
      </c>
      <c r="B57" s="1700"/>
      <c r="C57" s="1700" t="str">
        <f>+'Bce Clasificado 31.12.2024'!H18</f>
        <v>2-1-01-005 Intereses Diferidos por Leasing</v>
      </c>
      <c r="D57" s="1701">
        <f>+'Bce Clasificado 31.12.2024'!J18</f>
        <v>-189973221</v>
      </c>
      <c r="E57" s="1702">
        <f t="shared" si="3"/>
        <v>1</v>
      </c>
      <c r="F57" s="1702"/>
      <c r="G57" s="1702"/>
      <c r="H57" s="1702"/>
      <c r="I57" s="1703"/>
      <c r="J57" s="1703"/>
      <c r="K57" s="1703"/>
      <c r="L57" s="1703"/>
      <c r="M57" s="1702"/>
      <c r="N57" s="1702">
        <f t="shared" si="0"/>
        <v>1</v>
      </c>
      <c r="O57" s="1704" t="str">
        <f t="shared" si="1"/>
        <v>Ok</v>
      </c>
      <c r="P57" s="1705">
        <f t="shared" si="2"/>
        <v>1</v>
      </c>
      <c r="Q57" s="1706" t="s">
        <v>1713</v>
      </c>
      <c r="R57" s="1706" t="s">
        <v>1714</v>
      </c>
    </row>
    <row r="58" spans="1:18">
      <c r="A58" s="1709" t="str">
        <f>+'Bce Clasificado 31.12.2024'!H31</f>
        <v>5. 21.10.20   CxP comerciales y otras CXP</v>
      </c>
      <c r="B58" s="1700"/>
      <c r="C58" s="1700" t="str">
        <f>+'Bce Clasificado 31.12.2024'!H21</f>
        <v>2-1-03-001 Acreedores</v>
      </c>
      <c r="D58" s="1701">
        <f>+'Bce Clasificado 31.12.2024'!J21</f>
        <v>150000000</v>
      </c>
      <c r="E58" s="1702">
        <f t="shared" si="3"/>
        <v>1</v>
      </c>
      <c r="F58" s="1702"/>
      <c r="G58" s="1702"/>
      <c r="H58" s="1702"/>
      <c r="I58" s="1703"/>
      <c r="J58" s="1703"/>
      <c r="K58" s="1703"/>
      <c r="L58" s="1703"/>
      <c r="M58" s="1702"/>
      <c r="N58" s="1702">
        <f t="shared" si="0"/>
        <v>1</v>
      </c>
      <c r="O58" s="1704" t="str">
        <f t="shared" si="1"/>
        <v>Ok</v>
      </c>
      <c r="P58" s="1705">
        <f t="shared" si="2"/>
        <v>1</v>
      </c>
      <c r="Q58" s="1706" t="s">
        <v>1713</v>
      </c>
      <c r="R58" s="1706" t="s">
        <v>1714</v>
      </c>
    </row>
    <row r="59" spans="1:18">
      <c r="A59" s="1709" t="str">
        <f>+A58</f>
        <v>5. 21.10.20   CxP comerciales y otras CXP</v>
      </c>
      <c r="B59" s="1700"/>
      <c r="C59" s="1700" t="str">
        <f>+'Bce Clasificado 31.12.2024'!H22</f>
        <v>2-1-03-002 Proveedores</v>
      </c>
      <c r="D59" s="1701">
        <f>+'Bce Clasificado 31.12.2024'!J22</f>
        <v>300000000</v>
      </c>
      <c r="E59" s="1702">
        <f t="shared" si="3"/>
        <v>1</v>
      </c>
      <c r="F59" s="1702"/>
      <c r="G59" s="1702"/>
      <c r="H59" s="1702"/>
      <c r="I59" s="1703"/>
      <c r="J59" s="1703"/>
      <c r="K59" s="1703"/>
      <c r="L59" s="1703"/>
      <c r="M59" s="1702"/>
      <c r="N59" s="1702">
        <f t="shared" si="0"/>
        <v>1</v>
      </c>
      <c r="O59" s="1704" t="str">
        <f t="shared" si="1"/>
        <v>Ok</v>
      </c>
      <c r="P59" s="1705">
        <f t="shared" si="2"/>
        <v>1</v>
      </c>
      <c r="Q59" s="1706" t="s">
        <v>1713</v>
      </c>
      <c r="R59" s="1706" t="s">
        <v>1714</v>
      </c>
    </row>
    <row r="60" spans="1:18">
      <c r="A60" s="1709" t="str">
        <f t="shared" ref="A60:A64" si="10">+A59</f>
        <v>5. 21.10.20   CxP comerciales y otras CXP</v>
      </c>
      <c r="B60" s="1700"/>
      <c r="C60" s="1700" t="str">
        <f>+'Bce Clasificado 31.12.2024'!H23</f>
        <v xml:space="preserve">2-1-03-003 Provisión Gastos de luz, agua y telefono </v>
      </c>
      <c r="D60" s="1701">
        <f>+'Bce Clasificado 31.12.2024'!J23</f>
        <v>5600000</v>
      </c>
      <c r="E60" s="1702" t="str">
        <f t="shared" si="3"/>
        <v/>
      </c>
      <c r="F60" s="1702"/>
      <c r="G60" s="1702"/>
      <c r="H60" s="1702"/>
      <c r="I60" s="1703"/>
      <c r="J60" s="1703"/>
      <c r="K60" s="1703"/>
      <c r="L60" s="1703"/>
      <c r="M60" s="1702"/>
      <c r="N60" s="1702">
        <f t="shared" si="0"/>
        <v>0</v>
      </c>
      <c r="O60" s="1704" t="str">
        <f t="shared" si="1"/>
        <v/>
      </c>
      <c r="P60" s="1705">
        <f t="shared" si="2"/>
        <v>0</v>
      </c>
      <c r="Q60" s="1706"/>
      <c r="R60" s="1706"/>
    </row>
    <row r="61" spans="1:18">
      <c r="A61" s="1709" t="str">
        <f t="shared" si="10"/>
        <v>5. 21.10.20   CxP comerciales y otras CXP</v>
      </c>
      <c r="B61" s="1700"/>
      <c r="C61" s="1700" t="str">
        <f>+'Bce Clasificado 31.12.2024'!H24</f>
        <v>2-1-03-004 Provisión Gastos de Arriendo oficina</v>
      </c>
      <c r="D61" s="1701">
        <f>+'Bce Clasificado 31.12.2024'!J24</f>
        <v>6324052</v>
      </c>
      <c r="E61" s="1702" t="str">
        <f t="shared" si="3"/>
        <v/>
      </c>
      <c r="F61" s="1702"/>
      <c r="G61" s="1702"/>
      <c r="H61" s="1702"/>
      <c r="I61" s="1703"/>
      <c r="J61" s="1703"/>
      <c r="K61" s="1703"/>
      <c r="L61" s="1703"/>
      <c r="M61" s="1702"/>
      <c r="N61" s="1702">
        <f t="shared" si="0"/>
        <v>0</v>
      </c>
      <c r="O61" s="1704" t="str">
        <f t="shared" si="1"/>
        <v/>
      </c>
      <c r="P61" s="1705">
        <f t="shared" si="2"/>
        <v>0</v>
      </c>
      <c r="Q61" s="1706"/>
      <c r="R61" s="1706"/>
    </row>
    <row r="62" spans="1:18">
      <c r="A62" s="1709" t="str">
        <f t="shared" si="10"/>
        <v>5. 21.10.20   CxP comerciales y otras CXP</v>
      </c>
      <c r="B62" s="1700"/>
      <c r="C62" s="1700" t="str">
        <f>+'Bce Clasificado 31.12.2024'!H25</f>
        <v>2-1-03-005 Provisión Servicios de Auditoria</v>
      </c>
      <c r="D62" s="1701">
        <f>+'Bce Clasificado 31.12.2024'!J25</f>
        <v>2000000</v>
      </c>
      <c r="E62" s="1702" t="str">
        <f t="shared" si="3"/>
        <v/>
      </c>
      <c r="F62" s="1702"/>
      <c r="G62" s="1702"/>
      <c r="H62" s="1702"/>
      <c r="I62" s="1703"/>
      <c r="J62" s="1703"/>
      <c r="K62" s="1703"/>
      <c r="L62" s="1703"/>
      <c r="M62" s="1702"/>
      <c r="N62" s="1702">
        <f t="shared" si="0"/>
        <v>0</v>
      </c>
      <c r="O62" s="1704" t="str">
        <f t="shared" si="1"/>
        <v/>
      </c>
      <c r="P62" s="1705">
        <f t="shared" si="2"/>
        <v>0</v>
      </c>
      <c r="Q62" s="1706"/>
      <c r="R62" s="1706"/>
    </row>
    <row r="63" spans="1:18">
      <c r="A63" s="1709" t="str">
        <f t="shared" si="10"/>
        <v>5. 21.10.20   CxP comerciales y otras CXP</v>
      </c>
      <c r="B63" s="1700"/>
      <c r="C63" s="1700" t="str">
        <f>+'Bce Clasificado 31.12.2024'!H26</f>
        <v>2-1-03-006 PPM por Pagar</v>
      </c>
      <c r="D63" s="1701">
        <f>+'Bce Clasificado 31.12.2024'!J26</f>
        <v>5000000</v>
      </c>
      <c r="E63" s="1702" t="str">
        <f t="shared" si="3"/>
        <v/>
      </c>
      <c r="F63" s="1702"/>
      <c r="G63" s="1702"/>
      <c r="H63" s="1702"/>
      <c r="I63" s="1703"/>
      <c r="J63" s="1703"/>
      <c r="K63" s="1703"/>
      <c r="L63" s="1703"/>
      <c r="M63" s="1702"/>
      <c r="N63" s="1702">
        <f t="shared" si="0"/>
        <v>0</v>
      </c>
      <c r="O63" s="1704" t="str">
        <f t="shared" si="1"/>
        <v/>
      </c>
      <c r="P63" s="1705">
        <f t="shared" si="2"/>
        <v>0</v>
      </c>
      <c r="Q63" s="1706"/>
      <c r="R63" s="1706"/>
    </row>
    <row r="64" spans="1:18">
      <c r="A64" s="1709" t="str">
        <f t="shared" si="10"/>
        <v>5. 21.10.20   CxP comerciales y otras CXP</v>
      </c>
      <c r="B64" s="1700"/>
      <c r="C64" s="1700" t="str">
        <f>+'Bce Clasificado 31.12.2024'!H27</f>
        <v>2-1-04-001 Provisión de Vacaciones</v>
      </c>
      <c r="D64" s="1701">
        <f>+'Bce Clasificado 31.12.2024'!J27</f>
        <v>35000000</v>
      </c>
      <c r="E64" s="1702">
        <f t="shared" si="3"/>
        <v>1</v>
      </c>
      <c r="F64" s="1702"/>
      <c r="G64" s="1702"/>
      <c r="H64" s="1702"/>
      <c r="I64" s="1703"/>
      <c r="J64" s="1703"/>
      <c r="K64" s="1703"/>
      <c r="L64" s="1703"/>
      <c r="M64" s="1702"/>
      <c r="N64" s="1702">
        <f t="shared" si="0"/>
        <v>1</v>
      </c>
      <c r="O64" s="1704" t="str">
        <f t="shared" si="1"/>
        <v>Ok</v>
      </c>
      <c r="P64" s="1705">
        <f t="shared" si="2"/>
        <v>1</v>
      </c>
      <c r="Q64" s="1706" t="s">
        <v>1713</v>
      </c>
      <c r="R64" s="1706" t="s">
        <v>1714</v>
      </c>
    </row>
    <row r="65" spans="1:18">
      <c r="A65" s="1699" t="str">
        <f>+'Bce Clasificado 31.12.2024'!H39</f>
        <v>5. 21.10.60   Otras Provisiones Corrientes</v>
      </c>
      <c r="B65" s="1700"/>
      <c r="C65" s="1700" t="str">
        <f>+'Bce Clasificado 31.12.2024'!H35</f>
        <v>2-1-05-001 Provisión Terremoto</v>
      </c>
      <c r="D65" s="1701">
        <f>+'Bce Clasificado 31.12.2024'!J35</f>
        <v>180000000</v>
      </c>
      <c r="E65" s="1702">
        <f t="shared" si="3"/>
        <v>1</v>
      </c>
      <c r="F65" s="1702"/>
      <c r="G65" s="1702"/>
      <c r="H65" s="1702"/>
      <c r="I65" s="1703">
        <v>1</v>
      </c>
      <c r="J65" s="1703"/>
      <c r="K65" s="1703"/>
      <c r="L65" s="1703"/>
      <c r="M65" s="1702"/>
      <c r="N65" s="1702">
        <f t="shared" si="0"/>
        <v>2</v>
      </c>
      <c r="O65" s="1704" t="str">
        <f t="shared" si="1"/>
        <v>Ok</v>
      </c>
      <c r="P65" s="1705">
        <f t="shared" si="2"/>
        <v>1</v>
      </c>
      <c r="Q65" s="1706" t="s">
        <v>1713</v>
      </c>
      <c r="R65" s="1706" t="s">
        <v>1714</v>
      </c>
    </row>
    <row r="66" spans="1:18">
      <c r="A66" s="1699" t="str">
        <f>+A65</f>
        <v>5. 21.10.60   Otras Provisiones Corrientes</v>
      </c>
      <c r="B66" s="1700"/>
      <c r="C66" s="1700" t="str">
        <f>+'Bce Clasificado 31.12.2024'!H36</f>
        <v xml:space="preserve">2-1-05-002 Provision por Juicios </v>
      </c>
      <c r="D66" s="1701">
        <f>+'Bce Clasificado 31.12.2024'!J36</f>
        <v>679000000</v>
      </c>
      <c r="E66" s="1702">
        <f t="shared" si="3"/>
        <v>1</v>
      </c>
      <c r="F66" s="1702"/>
      <c r="G66" s="1702"/>
      <c r="H66" s="1702"/>
      <c r="I66" s="1703">
        <v>1</v>
      </c>
      <c r="J66" s="1703"/>
      <c r="K66" s="1703"/>
      <c r="L66" s="1703"/>
      <c r="M66" s="1702"/>
      <c r="N66" s="1702">
        <f t="shared" si="0"/>
        <v>2</v>
      </c>
      <c r="O66" s="1704" t="str">
        <f t="shared" si="1"/>
        <v>Ok</v>
      </c>
      <c r="P66" s="1705">
        <f t="shared" si="2"/>
        <v>1</v>
      </c>
      <c r="Q66" s="1706" t="s">
        <v>1713</v>
      </c>
      <c r="R66" s="1706" t="s">
        <v>1714</v>
      </c>
    </row>
    <row r="67" spans="1:18">
      <c r="A67" s="1699" t="str">
        <f t="shared" ref="A67:A68" si="11">+A66</f>
        <v>5. 21.10.60   Otras Provisiones Corrientes</v>
      </c>
      <c r="B67" s="1700"/>
      <c r="C67" s="1700" t="str">
        <f>+'Bce Clasificado 31.12.2024'!H37</f>
        <v>2-1-05-003 Provisión Tipo Comercial</v>
      </c>
      <c r="D67" s="1701">
        <f>+'Bce Clasificado 31.12.2024'!J37</f>
        <v>10000000</v>
      </c>
      <c r="E67" s="1702" t="str">
        <f t="shared" si="3"/>
        <v/>
      </c>
      <c r="F67" s="1702"/>
      <c r="G67" s="1702"/>
      <c r="H67" s="1702"/>
      <c r="I67" s="1703">
        <v>1</v>
      </c>
      <c r="J67" s="1703"/>
      <c r="K67" s="1703"/>
      <c r="L67" s="1703"/>
      <c r="M67" s="1702"/>
      <c r="N67" s="1702">
        <f t="shared" si="0"/>
        <v>1</v>
      </c>
      <c r="O67" s="1704" t="str">
        <f t="shared" si="1"/>
        <v>Ok</v>
      </c>
      <c r="P67" s="1705">
        <f t="shared" si="2"/>
        <v>1</v>
      </c>
      <c r="Q67" s="1706"/>
      <c r="R67" s="1706"/>
    </row>
    <row r="68" spans="1:18">
      <c r="A68" s="1699" t="str">
        <f t="shared" si="11"/>
        <v>5. 21.10.60   Otras Provisiones Corrientes</v>
      </c>
      <c r="B68" s="1700"/>
      <c r="C68" s="1700" t="str">
        <f>+'Bce Clasificado 31.12.2024'!H38</f>
        <v>2-1-05-004 Provisión Medioambiental</v>
      </c>
      <c r="D68" s="1701">
        <f>+'Bce Clasificado 31.12.2024'!J38</f>
        <v>120000000</v>
      </c>
      <c r="E68" s="1702">
        <f t="shared" si="3"/>
        <v>1</v>
      </c>
      <c r="F68" s="1702"/>
      <c r="G68" s="1702"/>
      <c r="H68" s="1702"/>
      <c r="I68" s="1703">
        <v>1</v>
      </c>
      <c r="J68" s="1703"/>
      <c r="K68" s="1703"/>
      <c r="L68" s="1703"/>
      <c r="M68" s="1702"/>
      <c r="N68" s="1702">
        <f t="shared" si="0"/>
        <v>2</v>
      </c>
      <c r="O68" s="1704" t="str">
        <f t="shared" si="1"/>
        <v>Ok</v>
      </c>
      <c r="P68" s="1705">
        <f t="shared" si="2"/>
        <v>1</v>
      </c>
      <c r="Q68" s="1706" t="s">
        <v>1713</v>
      </c>
      <c r="R68" s="1706" t="s">
        <v>1714</v>
      </c>
    </row>
    <row r="69" spans="1:18">
      <c r="A69" s="1699" t="str">
        <f>+'Bce Clasificado 31.12.2024'!H42</f>
        <v>5. 21.10.70   Pasivos por Impuestos Corrientes</v>
      </c>
      <c r="B69" s="1700"/>
      <c r="C69" s="1708" t="str">
        <f>+'Bce Clasificado 31.12.2024'!H41</f>
        <v>2-1-07-001 Provisión Impuesto a la Renta</v>
      </c>
      <c r="D69" s="1701">
        <f>+'Bce Clasificado 31.12.2024'!J41</f>
        <v>180000000</v>
      </c>
      <c r="E69" s="1702">
        <f t="shared" si="3"/>
        <v>1</v>
      </c>
      <c r="F69" s="1702"/>
      <c r="G69" s="1702"/>
      <c r="H69" s="1702"/>
      <c r="I69" s="1703"/>
      <c r="J69" s="1703"/>
      <c r="K69" s="1703"/>
      <c r="L69" s="1703"/>
      <c r="M69" s="1702"/>
      <c r="N69" s="1702">
        <f t="shared" si="0"/>
        <v>1</v>
      </c>
      <c r="O69" s="1704" t="str">
        <f t="shared" si="1"/>
        <v>Ok</v>
      </c>
      <c r="P69" s="1705">
        <f t="shared" si="2"/>
        <v>1</v>
      </c>
      <c r="Q69" s="1706" t="s">
        <v>1713</v>
      </c>
      <c r="R69" s="1706" t="s">
        <v>1714</v>
      </c>
    </row>
    <row r="70" spans="1:18">
      <c r="A70" s="1699" t="str">
        <f>+'Bce Clasificado 31.12.2024'!H64</f>
        <v>5. 22.60.00   Prov. No Corritentes por Beneficio a los Empleados</v>
      </c>
      <c r="B70" s="1700"/>
      <c r="C70" s="1708" t="str">
        <f>+'Bce Clasificado 31.12.2024'!H63</f>
        <v>2-2-08-001 Provisión Indemnizaciones años de servicios</v>
      </c>
      <c r="D70" s="1701">
        <f>+'Bce Clasificado 31.12.2024'!J63</f>
        <v>150000000</v>
      </c>
      <c r="E70" s="1702">
        <f t="shared" si="3"/>
        <v>1</v>
      </c>
      <c r="F70" s="1702"/>
      <c r="G70" s="1702"/>
      <c r="H70" s="1702"/>
      <c r="I70" s="1703"/>
      <c r="J70" s="1703"/>
      <c r="K70" s="1703"/>
      <c r="L70" s="1703"/>
      <c r="M70" s="1702"/>
      <c r="N70" s="1702">
        <f t="shared" si="0"/>
        <v>1</v>
      </c>
      <c r="O70" s="1704" t="str">
        <f t="shared" si="1"/>
        <v>Ok</v>
      </c>
      <c r="P70" s="1705">
        <f t="shared" si="2"/>
        <v>1</v>
      </c>
      <c r="Q70" s="1706" t="s">
        <v>1713</v>
      </c>
      <c r="R70" s="1706" t="s">
        <v>1714</v>
      </c>
    </row>
    <row r="71" spans="1:18" s="1869" customFormat="1">
      <c r="A71" s="1991" t="str">
        <f>+'Bce Clasificado 31.12.2024'!H68</f>
        <v>5. 24   PATRIMONIO</v>
      </c>
      <c r="B71" s="1992"/>
      <c r="C71" s="1993" t="str">
        <f>+A71</f>
        <v>5. 24   PATRIMONIO</v>
      </c>
      <c r="D71" s="1994">
        <f>+'Bce Clasificado 31.12.2024'!J72+'Bce Clasificado 31.12.2024'!J80+'Bce Clasificado 31.12.2024'!J84</f>
        <v>2136213492</v>
      </c>
      <c r="E71" s="1995">
        <f t="shared" si="3"/>
        <v>1</v>
      </c>
      <c r="F71" s="1995"/>
      <c r="G71" s="1995"/>
      <c r="H71" s="1995"/>
      <c r="I71" s="1996"/>
      <c r="J71" s="1996"/>
      <c r="K71" s="1996"/>
      <c r="L71" s="1996"/>
      <c r="M71" s="1995"/>
      <c r="N71" s="1995">
        <f t="shared" si="0"/>
        <v>1</v>
      </c>
      <c r="O71" s="1997" t="str">
        <f t="shared" si="1"/>
        <v>Ok</v>
      </c>
      <c r="P71" s="1998">
        <f t="shared" si="2"/>
        <v>1</v>
      </c>
      <c r="Q71" s="1706" t="s">
        <v>1713</v>
      </c>
      <c r="R71" s="1706" t="s">
        <v>1714</v>
      </c>
    </row>
    <row r="72" spans="1:18">
      <c r="A72" s="1699" t="str">
        <f>+'Bce Clasificado 31.12.2024'!B145</f>
        <v>5. 31.11.11   INGRESOS POR ACTIVIDADES ORDINARIAS</v>
      </c>
      <c r="B72" s="1700"/>
      <c r="C72" s="1700" t="str">
        <f>+'Bce Clasificado 31.12.2024'!B143</f>
        <v>3-1-01-001 Ventas</v>
      </c>
      <c r="D72" s="1701">
        <f>+'Bce Clasificado 31.12.2024'!D143</f>
        <v>1440725811</v>
      </c>
      <c r="E72" s="1702">
        <f t="shared" si="3"/>
        <v>1</v>
      </c>
      <c r="F72" s="1702"/>
      <c r="G72" s="1702"/>
      <c r="H72" s="1702"/>
      <c r="I72" s="1703"/>
      <c r="J72" s="1703"/>
      <c r="K72" s="1703"/>
      <c r="L72" s="1703"/>
      <c r="M72" s="1702"/>
      <c r="N72" s="1702">
        <f t="shared" si="0"/>
        <v>1</v>
      </c>
      <c r="O72" s="1704" t="str">
        <f t="shared" si="1"/>
        <v>Ok</v>
      </c>
      <c r="P72" s="1705">
        <f t="shared" si="2"/>
        <v>1</v>
      </c>
      <c r="Q72" s="1706" t="s">
        <v>1713</v>
      </c>
      <c r="R72" s="1706" t="s">
        <v>203</v>
      </c>
    </row>
    <row r="73" spans="1:18">
      <c r="A73" s="1699" t="str">
        <f>+A72</f>
        <v>5. 31.11.11   INGRESOS POR ACTIVIDADES ORDINARIAS</v>
      </c>
      <c r="B73" s="1700"/>
      <c r="C73" s="1700" t="str">
        <f>+'Bce Clasificado 31.12.2024'!B144</f>
        <v>3-1-01-002 Descuentos Otorgados</v>
      </c>
      <c r="D73" s="1701">
        <f>+'Bce Clasificado 31.12.2024'!D144</f>
        <v>-20000000</v>
      </c>
      <c r="E73" s="1702">
        <f t="shared" si="3"/>
        <v>1</v>
      </c>
      <c r="F73" s="1702"/>
      <c r="G73" s="1702"/>
      <c r="H73" s="1702"/>
      <c r="I73" s="1703"/>
      <c r="J73" s="1703"/>
      <c r="K73" s="1703"/>
      <c r="L73" s="1703"/>
      <c r="M73" s="1702"/>
      <c r="N73" s="1702">
        <f t="shared" ref="N73:N108" si="12">SUM(E73:M73)</f>
        <v>1</v>
      </c>
      <c r="O73" s="1704" t="str">
        <f t="shared" ref="O73:O108" si="13">IF(N73&gt;0,"Ok","")</f>
        <v>Ok</v>
      </c>
      <c r="P73" s="1705">
        <f t="shared" ref="P73:P108" si="14">IF(O73="Ok",1,0)</f>
        <v>1</v>
      </c>
      <c r="Q73" s="1706" t="s">
        <v>1713</v>
      </c>
      <c r="R73" s="1706" t="s">
        <v>203</v>
      </c>
    </row>
    <row r="74" spans="1:18">
      <c r="A74" s="1699" t="str">
        <f>+'Bce Clasificado 31.12.2024'!B148</f>
        <v>5. 31.11.12   COSTO DE VENTAS</v>
      </c>
      <c r="B74" s="1700"/>
      <c r="C74" s="1708" t="str">
        <f>+'Bce Clasificado 31.12.2024'!B147</f>
        <v>4-1-01-001 Costo de Venta</v>
      </c>
      <c r="D74" s="1701">
        <f>+'Bce Clasificado 31.12.2024'!D148</f>
        <v>-182662912</v>
      </c>
      <c r="E74" s="1702">
        <f t="shared" ref="E74:E106" si="15">IF(ABS(D74)&gt;$D$3,1,"")</f>
        <v>1</v>
      </c>
      <c r="F74" s="1702"/>
      <c r="G74" s="1702"/>
      <c r="H74" s="1702"/>
      <c r="I74" s="1703"/>
      <c r="J74" s="1703"/>
      <c r="K74" s="1703"/>
      <c r="L74" s="1703"/>
      <c r="M74" s="1702"/>
      <c r="N74" s="1702">
        <f t="shared" si="12"/>
        <v>1</v>
      </c>
      <c r="O74" s="1704" t="str">
        <f t="shared" si="13"/>
        <v>Ok</v>
      </c>
      <c r="P74" s="1705">
        <f t="shared" si="14"/>
        <v>1</v>
      </c>
      <c r="Q74" s="1706" t="s">
        <v>1713</v>
      </c>
      <c r="R74" s="1706" t="s">
        <v>203</v>
      </c>
    </row>
    <row r="75" spans="1:18">
      <c r="A75" s="1699" t="str">
        <f>+'Bce Clasificado 31.12.2024'!B157</f>
        <v>5. 31.11.20   OTROS GASTOS POR NATURALEZA</v>
      </c>
      <c r="B75" s="1700"/>
      <c r="C75" s="1708" t="str">
        <f>+'Bce Clasificado 31.12.2024'!B150</f>
        <v>4-1-03-002 Gastos por Arriendos</v>
      </c>
      <c r="D75" s="1701">
        <f>+'Bce Clasificado 31.12.2024'!D150</f>
        <v>-41995878</v>
      </c>
      <c r="E75" s="1702">
        <f t="shared" si="15"/>
        <v>1</v>
      </c>
      <c r="F75" s="1702"/>
      <c r="G75" s="1702"/>
      <c r="H75" s="1702"/>
      <c r="I75" s="1703"/>
      <c r="J75" s="1703"/>
      <c r="K75" s="1703"/>
      <c r="L75" s="1703"/>
      <c r="M75" s="1702"/>
      <c r="N75" s="1702">
        <f t="shared" si="12"/>
        <v>1</v>
      </c>
      <c r="O75" s="1704" t="str">
        <f t="shared" si="13"/>
        <v>Ok</v>
      </c>
      <c r="P75" s="1705">
        <f t="shared" si="14"/>
        <v>1</v>
      </c>
      <c r="Q75" s="1706" t="s">
        <v>1713</v>
      </c>
      <c r="R75" s="1706" t="s">
        <v>203</v>
      </c>
    </row>
    <row r="76" spans="1:18">
      <c r="A76" s="1699" t="str">
        <f>+A75</f>
        <v>5. 31.11.20   OTROS GASTOS POR NATURALEZA</v>
      </c>
      <c r="B76" s="1700"/>
      <c r="C76" s="1708" t="str">
        <f>+'Bce Clasificado 31.12.2024'!B151</f>
        <v>4-1-03-003 Servicios Básicos</v>
      </c>
      <c r="D76" s="1701">
        <f>+'Bce Clasificado 31.12.2024'!D151</f>
        <v>-3500000</v>
      </c>
      <c r="E76" s="1702" t="str">
        <f t="shared" si="15"/>
        <v/>
      </c>
      <c r="F76" s="1702"/>
      <c r="G76" s="1702"/>
      <c r="H76" s="1702"/>
      <c r="I76" s="1703"/>
      <c r="J76" s="1703"/>
      <c r="K76" s="1703"/>
      <c r="L76" s="1703"/>
      <c r="M76" s="1702"/>
      <c r="N76" s="1702">
        <f t="shared" si="12"/>
        <v>0</v>
      </c>
      <c r="O76" s="1704" t="str">
        <f t="shared" si="13"/>
        <v/>
      </c>
      <c r="P76" s="1705">
        <f t="shared" si="14"/>
        <v>0</v>
      </c>
      <c r="Q76" s="1706"/>
      <c r="R76" s="1706"/>
    </row>
    <row r="77" spans="1:18">
      <c r="A77" s="1699" t="str">
        <f t="shared" ref="A77:A80" si="16">+A76</f>
        <v>5. 31.11.20   OTROS GASTOS POR NATURALEZA</v>
      </c>
      <c r="B77" s="1700"/>
      <c r="C77" s="1708" t="str">
        <f>+'Bce Clasificado 31.12.2024'!B152</f>
        <v>4-1-03-004 Gastos Arriendo Impresora</v>
      </c>
      <c r="D77" s="1701">
        <f>+'Bce Clasificado 31.12.2024'!D152</f>
        <v>-1350000</v>
      </c>
      <c r="E77" s="1702" t="str">
        <f t="shared" si="15"/>
        <v/>
      </c>
      <c r="F77" s="1702"/>
      <c r="G77" s="1702"/>
      <c r="H77" s="1702"/>
      <c r="I77" s="1703"/>
      <c r="J77" s="1703"/>
      <c r="K77" s="1703"/>
      <c r="L77" s="1703"/>
      <c r="M77" s="1702"/>
      <c r="N77" s="1702">
        <f t="shared" si="12"/>
        <v>0</v>
      </c>
      <c r="O77" s="1704" t="str">
        <f t="shared" si="13"/>
        <v/>
      </c>
      <c r="P77" s="1705">
        <f t="shared" si="14"/>
        <v>0</v>
      </c>
      <c r="Q77" s="1706"/>
      <c r="R77" s="1706"/>
    </row>
    <row r="78" spans="1:18">
      <c r="A78" s="1699" t="str">
        <f t="shared" si="16"/>
        <v>5. 31.11.20   OTROS GASTOS POR NATURALEZA</v>
      </c>
      <c r="B78" s="1700"/>
      <c r="C78" s="1708" t="str">
        <f>+'Bce Clasificado 31.12.2024'!B153</f>
        <v>4-1-03-005 Publicidad</v>
      </c>
      <c r="D78" s="1701">
        <f>+'Bce Clasificado 31.12.2024'!D153</f>
        <v>-2000000</v>
      </c>
      <c r="E78" s="1702" t="str">
        <f t="shared" si="15"/>
        <v/>
      </c>
      <c r="F78" s="1702"/>
      <c r="G78" s="1702"/>
      <c r="H78" s="1702"/>
      <c r="I78" s="1703"/>
      <c r="J78" s="1703"/>
      <c r="K78" s="1703"/>
      <c r="L78" s="1703"/>
      <c r="M78" s="1702"/>
      <c r="N78" s="1702">
        <f t="shared" si="12"/>
        <v>0</v>
      </c>
      <c r="O78" s="1704" t="str">
        <f t="shared" si="13"/>
        <v/>
      </c>
      <c r="P78" s="1705">
        <f t="shared" si="14"/>
        <v>0</v>
      </c>
      <c r="Q78" s="1706"/>
      <c r="R78" s="1706"/>
    </row>
    <row r="79" spans="1:18">
      <c r="A79" s="1699" t="str">
        <f t="shared" si="16"/>
        <v>5. 31.11.20   OTROS GASTOS POR NATURALEZA</v>
      </c>
      <c r="B79" s="1700"/>
      <c r="C79" s="1708" t="str">
        <f>+'Bce Clasificado 31.12.2024'!B154</f>
        <v>4-1-03-006 Asesoría Contable</v>
      </c>
      <c r="D79" s="1701">
        <f>+'Bce Clasificado 31.12.2024'!D154</f>
        <v>-6000000</v>
      </c>
      <c r="E79" s="1702" t="str">
        <f t="shared" si="15"/>
        <v/>
      </c>
      <c r="F79" s="1702"/>
      <c r="G79" s="1702"/>
      <c r="H79" s="1702"/>
      <c r="I79" s="1703"/>
      <c r="J79" s="1703"/>
      <c r="K79" s="1703"/>
      <c r="L79" s="1703"/>
      <c r="M79" s="1702"/>
      <c r="N79" s="1702">
        <f t="shared" si="12"/>
        <v>0</v>
      </c>
      <c r="O79" s="1704" t="str">
        <f t="shared" si="13"/>
        <v/>
      </c>
      <c r="P79" s="1705">
        <f t="shared" si="14"/>
        <v>0</v>
      </c>
      <c r="Q79" s="1706"/>
      <c r="R79" s="1706"/>
    </row>
    <row r="80" spans="1:18">
      <c r="A80" s="1699" t="str">
        <f t="shared" si="16"/>
        <v>5. 31.11.20   OTROS GASTOS POR NATURALEZA</v>
      </c>
      <c r="B80" s="1700"/>
      <c r="C80" s="1708" t="str">
        <f>+'Bce Clasificado 31.12.2024'!B155</f>
        <v>4-1-03-007 Asesoría Legal</v>
      </c>
      <c r="D80" s="1701">
        <f>+'Bce Clasificado 31.12.2024'!D155</f>
        <v>-2000000</v>
      </c>
      <c r="E80" s="1702" t="str">
        <f t="shared" si="15"/>
        <v/>
      </c>
      <c r="F80" s="1702"/>
      <c r="G80" s="1702"/>
      <c r="H80" s="1702"/>
      <c r="I80" s="1703"/>
      <c r="J80" s="1703"/>
      <c r="K80" s="1703"/>
      <c r="L80" s="1703"/>
      <c r="M80" s="1702"/>
      <c r="N80" s="1702">
        <f t="shared" si="12"/>
        <v>0</v>
      </c>
      <c r="O80" s="1704" t="str">
        <f t="shared" si="13"/>
        <v/>
      </c>
      <c r="P80" s="1705">
        <f t="shared" si="14"/>
        <v>0</v>
      </c>
      <c r="Q80" s="1706"/>
      <c r="R80" s="1706"/>
    </row>
    <row r="81" spans="1:18">
      <c r="A81" s="1699" t="str">
        <f>+'Bce Clasificado 31.12.2024'!B166</f>
        <v>5. 31.12.10   GASTOS POR BENEFICIOS A LOS EMPLEADOS</v>
      </c>
      <c r="B81" s="1700"/>
      <c r="C81" s="1700" t="str">
        <f>+'Bce Clasificado 31.12.2024'!B159</f>
        <v>4-1-02-001 Remuneraciones</v>
      </c>
      <c r="D81" s="1701">
        <f>+'Bce Clasificado 31.12.2024'!D159</f>
        <v>-320000000</v>
      </c>
      <c r="E81" s="1702">
        <f t="shared" si="15"/>
        <v>1</v>
      </c>
      <c r="F81" s="1702"/>
      <c r="G81" s="1702"/>
      <c r="H81" s="1702"/>
      <c r="I81" s="1703"/>
      <c r="J81" s="1703"/>
      <c r="K81" s="1703"/>
      <c r="L81" s="1703"/>
      <c r="M81" s="1702"/>
      <c r="N81" s="1702">
        <f t="shared" si="12"/>
        <v>1</v>
      </c>
      <c r="O81" s="1704" t="str">
        <f t="shared" si="13"/>
        <v>Ok</v>
      </c>
      <c r="P81" s="1705">
        <f t="shared" si="14"/>
        <v>1</v>
      </c>
      <c r="Q81" s="1706" t="s">
        <v>1713</v>
      </c>
      <c r="R81" s="1706" t="s">
        <v>203</v>
      </c>
    </row>
    <row r="82" spans="1:18">
      <c r="A82" s="1699" t="str">
        <f>+A81</f>
        <v>5. 31.12.10   GASTOS POR BENEFICIOS A LOS EMPLEADOS</v>
      </c>
      <c r="B82" s="1700"/>
      <c r="C82" s="1700" t="str">
        <f>+'Bce Clasificado 31.12.2024'!B160</f>
        <v>4-1-02-002 Gratificaciones</v>
      </c>
      <c r="D82" s="1701">
        <f>+'Bce Clasificado 31.12.2024'!D160</f>
        <v>-55000000</v>
      </c>
      <c r="E82" s="1702">
        <f t="shared" si="15"/>
        <v>1</v>
      </c>
      <c r="F82" s="1702"/>
      <c r="G82" s="1702"/>
      <c r="H82" s="1702"/>
      <c r="I82" s="1703"/>
      <c r="J82" s="1703"/>
      <c r="K82" s="1703"/>
      <c r="L82" s="1703"/>
      <c r="M82" s="1702"/>
      <c r="N82" s="1702">
        <f t="shared" si="12"/>
        <v>1</v>
      </c>
      <c r="O82" s="1704" t="str">
        <f t="shared" si="13"/>
        <v>Ok</v>
      </c>
      <c r="P82" s="1705">
        <f t="shared" si="14"/>
        <v>1</v>
      </c>
      <c r="Q82" s="1706" t="s">
        <v>1713</v>
      </c>
      <c r="R82" s="1706" t="s">
        <v>203</v>
      </c>
    </row>
    <row r="83" spans="1:18">
      <c r="A83" s="1699" t="str">
        <f t="shared" ref="A83:A87" si="17">+A82</f>
        <v>5. 31.12.10   GASTOS POR BENEFICIOS A LOS EMPLEADOS</v>
      </c>
      <c r="B83" s="1700"/>
      <c r="C83" s="1700" t="str">
        <f>+'Bce Clasificado 31.12.2024'!B161</f>
        <v xml:space="preserve">4-1-02-003 Colación </v>
      </c>
      <c r="D83" s="1701">
        <f>+'Bce Clasificado 31.12.2024'!D161</f>
        <v>-12000000</v>
      </c>
      <c r="E83" s="1702" t="str">
        <f t="shared" si="15"/>
        <v/>
      </c>
      <c r="F83" s="1702"/>
      <c r="G83" s="1702"/>
      <c r="H83" s="1702"/>
      <c r="I83" s="1703"/>
      <c r="J83" s="1703"/>
      <c r="K83" s="1703"/>
      <c r="L83" s="1703"/>
      <c r="M83" s="1702"/>
      <c r="N83" s="1702">
        <f t="shared" si="12"/>
        <v>0</v>
      </c>
      <c r="O83" s="1704" t="str">
        <f t="shared" si="13"/>
        <v/>
      </c>
      <c r="P83" s="1705">
        <f t="shared" si="14"/>
        <v>0</v>
      </c>
      <c r="Q83" s="1706"/>
      <c r="R83" s="1706"/>
    </row>
    <row r="84" spans="1:18">
      <c r="A84" s="1699" t="str">
        <f t="shared" si="17"/>
        <v>5. 31.12.10   GASTOS POR BENEFICIOS A LOS EMPLEADOS</v>
      </c>
      <c r="B84" s="1700"/>
      <c r="C84" s="1700" t="str">
        <f>+'Bce Clasificado 31.12.2024'!B162</f>
        <v>4-1-02-004 Movilización</v>
      </c>
      <c r="D84" s="1701">
        <f>+'Bce Clasificado 31.12.2024'!D162</f>
        <v>-12000000</v>
      </c>
      <c r="E84" s="1702" t="str">
        <f t="shared" si="15"/>
        <v/>
      </c>
      <c r="F84" s="1702"/>
      <c r="G84" s="1702"/>
      <c r="H84" s="1702"/>
      <c r="I84" s="1703"/>
      <c r="J84" s="1703"/>
      <c r="K84" s="1703"/>
      <c r="L84" s="1703"/>
      <c r="M84" s="1702"/>
      <c r="N84" s="1702">
        <f t="shared" si="12"/>
        <v>0</v>
      </c>
      <c r="O84" s="1704" t="str">
        <f t="shared" si="13"/>
        <v/>
      </c>
      <c r="P84" s="1705">
        <f t="shared" si="14"/>
        <v>0</v>
      </c>
      <c r="Q84" s="1706"/>
      <c r="R84" s="1706"/>
    </row>
    <row r="85" spans="1:18">
      <c r="A85" s="1699" t="str">
        <f t="shared" si="17"/>
        <v>5. 31.12.10   GASTOS POR BENEFICIOS A LOS EMPLEADOS</v>
      </c>
      <c r="B85" s="1700"/>
      <c r="C85" s="1700" t="str">
        <f>+'Bce Clasificado 31.12.2024'!B163</f>
        <v>4-1-02-005 Capacitación</v>
      </c>
      <c r="D85" s="1701">
        <f>+'Bce Clasificado 31.12.2024'!D163</f>
        <v>-5000000</v>
      </c>
      <c r="E85" s="1702" t="str">
        <f t="shared" si="15"/>
        <v/>
      </c>
      <c r="F85" s="1702"/>
      <c r="G85" s="1702"/>
      <c r="H85" s="1702"/>
      <c r="I85" s="1703"/>
      <c r="J85" s="1703"/>
      <c r="K85" s="1703"/>
      <c r="L85" s="1703"/>
      <c r="M85" s="1702"/>
      <c r="N85" s="1702">
        <f t="shared" si="12"/>
        <v>0</v>
      </c>
      <c r="O85" s="1704" t="str">
        <f t="shared" si="13"/>
        <v/>
      </c>
      <c r="P85" s="1705">
        <f t="shared" si="14"/>
        <v>0</v>
      </c>
      <c r="Q85" s="1706"/>
      <c r="R85" s="1706"/>
    </row>
    <row r="86" spans="1:18">
      <c r="A86" s="1699" t="str">
        <f t="shared" si="17"/>
        <v>5. 31.12.10   GASTOS POR BENEFICIOS A LOS EMPLEADOS</v>
      </c>
      <c r="B86" s="1700"/>
      <c r="C86" s="1700" t="str">
        <f>+'Bce Clasificado 31.12.2024'!B164</f>
        <v>4-1-02-006 Vacaciones</v>
      </c>
      <c r="D86" s="1701">
        <f>+'Bce Clasificado 31.12.2024'!D164</f>
        <v>-18000000</v>
      </c>
      <c r="E86" s="1702" t="str">
        <f t="shared" si="15"/>
        <v/>
      </c>
      <c r="F86" s="1702"/>
      <c r="G86" s="1702"/>
      <c r="H86" s="1702"/>
      <c r="I86" s="1703"/>
      <c r="J86" s="1703"/>
      <c r="K86" s="1703"/>
      <c r="L86" s="1703"/>
      <c r="M86" s="1702"/>
      <c r="N86" s="1702">
        <f t="shared" si="12"/>
        <v>0</v>
      </c>
      <c r="O86" s="1704" t="str">
        <f t="shared" si="13"/>
        <v/>
      </c>
      <c r="P86" s="1705">
        <f t="shared" si="14"/>
        <v>0</v>
      </c>
      <c r="Q86" s="1706"/>
      <c r="R86" s="1706"/>
    </row>
    <row r="87" spans="1:18">
      <c r="A87" s="1699" t="str">
        <f t="shared" si="17"/>
        <v>5. 31.12.10   GASTOS POR BENEFICIOS A LOS EMPLEADOS</v>
      </c>
      <c r="B87" s="1700"/>
      <c r="C87" s="1700" t="str">
        <f>+'Bce Clasificado 31.12.2024'!B165</f>
        <v>4-1-03-001 Honorarios</v>
      </c>
      <c r="D87" s="1701">
        <f>+'Bce Clasificado 31.12.2024'!D165</f>
        <v>-30000000</v>
      </c>
      <c r="E87" s="1702">
        <f t="shared" si="15"/>
        <v>1</v>
      </c>
      <c r="F87" s="1702"/>
      <c r="G87" s="1702"/>
      <c r="H87" s="1702"/>
      <c r="I87" s="1703"/>
      <c r="J87" s="1703"/>
      <c r="K87" s="1703"/>
      <c r="L87" s="1703"/>
      <c r="M87" s="1702"/>
      <c r="N87" s="1702">
        <f t="shared" si="12"/>
        <v>1</v>
      </c>
      <c r="O87" s="1704" t="str">
        <f t="shared" si="13"/>
        <v>Ok</v>
      </c>
      <c r="P87" s="1705">
        <f t="shared" si="14"/>
        <v>1</v>
      </c>
      <c r="Q87" s="1706" t="s">
        <v>1713</v>
      </c>
      <c r="R87" s="1706" t="s">
        <v>203</v>
      </c>
    </row>
    <row r="88" spans="1:18" s="1869" customFormat="1">
      <c r="A88" s="2000" t="str">
        <f>+'Bce Clasificado 31.12.2024'!B176</f>
        <v>5. 31.12.20   GASTOS POR DEPRECIACION Y AMORTIZACION</v>
      </c>
      <c r="B88" s="1992"/>
      <c r="C88" s="1992" t="str">
        <f>+A88</f>
        <v>5. 31.12.20   GASTOS POR DEPRECIACION Y AMORTIZACION</v>
      </c>
      <c r="D88" s="1994">
        <f>+'Bce Clasificado 31.12.2024'!D176</f>
        <v>-3767669</v>
      </c>
      <c r="E88" s="1995" t="str">
        <f t="shared" si="15"/>
        <v/>
      </c>
      <c r="F88" s="1995"/>
      <c r="G88" s="1995"/>
      <c r="H88" s="1995"/>
      <c r="I88" s="1996"/>
      <c r="J88" s="1996"/>
      <c r="K88" s="1996"/>
      <c r="L88" s="1996"/>
      <c r="M88" s="1995"/>
      <c r="N88" s="1995">
        <f t="shared" si="12"/>
        <v>0</v>
      </c>
      <c r="O88" s="1997" t="str">
        <f t="shared" si="13"/>
        <v/>
      </c>
      <c r="P88" s="1998">
        <f t="shared" si="14"/>
        <v>0</v>
      </c>
      <c r="Q88" s="1999"/>
      <c r="R88" s="1999"/>
    </row>
    <row r="89" spans="1:18">
      <c r="A89" s="1709" t="str">
        <f>+'Bce Clasificado 31.12.2024'!B182</f>
        <v>5. 31.12.30   OTRAS GANANCIAS O PERDIDAS</v>
      </c>
      <c r="B89" s="1700"/>
      <c r="C89" s="1700" t="str">
        <f>+'Bce Clasificado 31.12.2024'!B178</f>
        <v>4-1-09-001 Interese y Multas sobre Impuestos</v>
      </c>
      <c r="D89" s="1701">
        <f>+'Bce Clasificado 31.12.2024'!D178</f>
        <v>-1200000</v>
      </c>
      <c r="E89" s="1702" t="str">
        <f t="shared" si="15"/>
        <v/>
      </c>
      <c r="F89" s="1702"/>
      <c r="G89" s="1702"/>
      <c r="H89" s="1702"/>
      <c r="I89" s="1703"/>
      <c r="J89" s="1703"/>
      <c r="K89" s="1703"/>
      <c r="L89" s="1703"/>
      <c r="M89" s="1702"/>
      <c r="N89" s="1702">
        <f t="shared" si="12"/>
        <v>0</v>
      </c>
      <c r="O89" s="1704" t="str">
        <f t="shared" si="13"/>
        <v/>
      </c>
      <c r="P89" s="1705">
        <f t="shared" si="14"/>
        <v>0</v>
      </c>
      <c r="Q89" s="1706"/>
      <c r="R89" s="1706"/>
    </row>
    <row r="90" spans="1:18">
      <c r="A90" s="1709" t="str">
        <f>+A89</f>
        <v>5. 31.12.30   OTRAS GANANCIAS O PERDIDAS</v>
      </c>
      <c r="B90" s="1700"/>
      <c r="C90" s="1700" t="str">
        <f>+'Bce Clasificado 31.12.2024'!B179</f>
        <v>4-1-09-002 Castigo Activos Fijos</v>
      </c>
      <c r="D90" s="1701">
        <f>+'Bce Clasificado 31.12.2024'!D179</f>
        <v>-5000000</v>
      </c>
      <c r="E90" s="1702" t="str">
        <f t="shared" si="15"/>
        <v/>
      </c>
      <c r="F90" s="1702"/>
      <c r="G90" s="1702"/>
      <c r="H90" s="1702"/>
      <c r="I90" s="1703"/>
      <c r="J90" s="1703"/>
      <c r="K90" s="1703"/>
      <c r="L90" s="1703"/>
      <c r="M90" s="1702"/>
      <c r="N90" s="1702">
        <f t="shared" si="12"/>
        <v>0</v>
      </c>
      <c r="O90" s="1704" t="str">
        <f t="shared" si="13"/>
        <v/>
      </c>
      <c r="P90" s="1705">
        <f t="shared" si="14"/>
        <v>0</v>
      </c>
      <c r="Q90" s="1706"/>
      <c r="R90" s="1706"/>
    </row>
    <row r="91" spans="1:18">
      <c r="A91" s="1709" t="str">
        <f t="shared" ref="A91:A92" si="18">+A90</f>
        <v>5. 31.12.30   OTRAS GANANCIAS O PERDIDAS</v>
      </c>
      <c r="B91" s="1700"/>
      <c r="C91" s="1700" t="str">
        <f>+'Bce Clasificado 31.12.2024'!B180</f>
        <v>4-1-09-003 Venta de Activos Fijos</v>
      </c>
      <c r="D91" s="1701">
        <f>+'Bce Clasificado 31.12.2024'!D180</f>
        <v>0</v>
      </c>
      <c r="E91" s="1702" t="str">
        <f t="shared" si="15"/>
        <v/>
      </c>
      <c r="F91" s="1702"/>
      <c r="G91" s="1702"/>
      <c r="H91" s="1702"/>
      <c r="I91" s="1703"/>
      <c r="J91" s="1703"/>
      <c r="K91" s="1703"/>
      <c r="L91" s="1703"/>
      <c r="M91" s="1702"/>
      <c r="N91" s="1702">
        <f t="shared" si="12"/>
        <v>0</v>
      </c>
      <c r="O91" s="1704"/>
      <c r="P91" s="1705"/>
      <c r="Q91" s="1706"/>
      <c r="R91" s="1706"/>
    </row>
    <row r="92" spans="1:18">
      <c r="A92" s="1709" t="str">
        <f t="shared" si="18"/>
        <v>5. 31.12.30   OTRAS GANANCIAS O PERDIDAS</v>
      </c>
      <c r="B92" s="1700"/>
      <c r="C92" s="1700" t="str">
        <f>+'Bce Clasificado 31.12.2024'!B181</f>
        <v>4-1-13-003 Gastos Rechazados</v>
      </c>
      <c r="D92" s="1701">
        <f>+'Bce Clasificado 31.12.2024'!D181</f>
        <v>-20000000</v>
      </c>
      <c r="E92" s="1702">
        <f t="shared" si="15"/>
        <v>1</v>
      </c>
      <c r="F92" s="1702"/>
      <c r="G92" s="1702"/>
      <c r="H92" s="1702"/>
      <c r="I92" s="1703"/>
      <c r="J92" s="1703"/>
      <c r="K92" s="1703"/>
      <c r="L92" s="1703"/>
      <c r="M92" s="1702"/>
      <c r="N92" s="1702">
        <f t="shared" si="12"/>
        <v>1</v>
      </c>
      <c r="O92" s="1704" t="str">
        <f t="shared" si="13"/>
        <v>Ok</v>
      </c>
      <c r="P92" s="1705"/>
      <c r="Q92" s="1706" t="s">
        <v>1713</v>
      </c>
      <c r="R92" s="1706" t="s">
        <v>203</v>
      </c>
    </row>
    <row r="93" spans="1:18">
      <c r="A93" s="1709" t="str">
        <f>+'Bce Clasificado 31.12.2024'!B185</f>
        <v>5. 31.12.40   GANANCIA INVERSIÓN EMPRESAS RELACIONADAS</v>
      </c>
      <c r="B93" s="1700"/>
      <c r="C93" s="1700" t="str">
        <f>+A93</f>
        <v>5. 31.12.40   GANANCIA INVERSIÓN EMPRESAS RELACIONADAS</v>
      </c>
      <c r="D93" s="1710">
        <f>+'Bce Clasificado 31.12.2024'!D184</f>
        <v>143250000</v>
      </c>
      <c r="E93" s="1702">
        <f t="shared" si="15"/>
        <v>1</v>
      </c>
      <c r="F93" s="1702"/>
      <c r="G93" s="1702"/>
      <c r="H93" s="1702"/>
      <c r="I93" s="1703"/>
      <c r="J93" s="1703"/>
      <c r="K93" s="1703"/>
      <c r="L93" s="1703"/>
      <c r="M93" s="1702"/>
      <c r="N93" s="1702">
        <f t="shared" si="12"/>
        <v>1</v>
      </c>
      <c r="O93" s="1704" t="str">
        <f t="shared" si="13"/>
        <v>Ok</v>
      </c>
      <c r="P93" s="1705"/>
      <c r="Q93" s="1706" t="s">
        <v>1713</v>
      </c>
      <c r="R93" s="1706" t="s">
        <v>203</v>
      </c>
    </row>
    <row r="94" spans="1:18">
      <c r="A94" s="1709" t="str">
        <f>+'Bce Clasificado 31.12.2024'!B191</f>
        <v>5. 31.12.50   INGRESOS FINANCIEROS</v>
      </c>
      <c r="B94" s="1700"/>
      <c r="C94" s="1700" t="str">
        <f>+'Bce Clasificado 31.12.2024'!B187</f>
        <v>3-1-04-001 Intereses Ganados por Depositos a Plazo</v>
      </c>
      <c r="D94" s="1710">
        <f>+'Bce Clasificado 31.12.2024'!D187</f>
        <v>3500000</v>
      </c>
      <c r="E94" s="1702" t="str">
        <f t="shared" si="15"/>
        <v/>
      </c>
      <c r="F94" s="1702"/>
      <c r="G94" s="1702"/>
      <c r="H94" s="1702"/>
      <c r="I94" s="1703"/>
      <c r="J94" s="1703"/>
      <c r="K94" s="1703"/>
      <c r="L94" s="1703"/>
      <c r="M94" s="1702"/>
      <c r="N94" s="1702">
        <f t="shared" si="12"/>
        <v>0</v>
      </c>
      <c r="O94" s="1704" t="str">
        <f t="shared" si="13"/>
        <v/>
      </c>
      <c r="P94" s="1705"/>
      <c r="Q94" s="1706"/>
      <c r="R94" s="1706"/>
    </row>
    <row r="95" spans="1:18">
      <c r="A95" s="1709" t="str">
        <f>+A94</f>
        <v>5. 31.12.50   INGRESOS FINANCIEROS</v>
      </c>
      <c r="B95" s="1700"/>
      <c r="C95" s="1700" t="str">
        <f>+'Bce Clasificado 31.12.2024'!B188</f>
        <v>3-1-04-002 Intereses Ganados Fondos Mutuos</v>
      </c>
      <c r="D95" s="1710">
        <f>+'Bce Clasificado 31.12.2024'!D188</f>
        <v>1500000</v>
      </c>
      <c r="E95" s="1702" t="str">
        <f t="shared" si="15"/>
        <v/>
      </c>
      <c r="F95" s="1702"/>
      <c r="G95" s="1702"/>
      <c r="H95" s="1702"/>
      <c r="I95" s="1703"/>
      <c r="J95" s="1703"/>
      <c r="K95" s="1703"/>
      <c r="L95" s="1703"/>
      <c r="M95" s="1702"/>
      <c r="N95" s="1702">
        <f t="shared" si="12"/>
        <v>0</v>
      </c>
      <c r="O95" s="1704" t="str">
        <f t="shared" si="13"/>
        <v/>
      </c>
      <c r="P95" s="1705"/>
      <c r="Q95" s="1706"/>
      <c r="R95" s="1706"/>
    </row>
    <row r="96" spans="1:18">
      <c r="A96" s="1709" t="str">
        <f>+A95</f>
        <v>5. 31.12.50   INGRESOS FINANCIEROS</v>
      </c>
      <c r="B96" s="1700"/>
      <c r="C96" s="1700" t="str">
        <f>+'Bce Clasificado 31.12.2024'!B189</f>
        <v>4-1-13-001 Ganancia Valor Razonable</v>
      </c>
      <c r="D96" s="1710">
        <f>+'Bce Clasificado 31.12.2024'!D189</f>
        <v>235600000</v>
      </c>
      <c r="E96" s="1702">
        <f t="shared" si="15"/>
        <v>1</v>
      </c>
      <c r="F96" s="1702"/>
      <c r="G96" s="1702"/>
      <c r="H96" s="1702"/>
      <c r="I96" s="1703"/>
      <c r="J96" s="1703"/>
      <c r="K96" s="1703"/>
      <c r="L96" s="1703"/>
      <c r="M96" s="1702"/>
      <c r="N96" s="1702">
        <f t="shared" si="12"/>
        <v>1</v>
      </c>
      <c r="O96" s="1704" t="str">
        <f t="shared" si="13"/>
        <v>Ok</v>
      </c>
      <c r="P96" s="1705"/>
      <c r="Q96" s="1706" t="s">
        <v>1713</v>
      </c>
      <c r="R96" s="1706" t="s">
        <v>203</v>
      </c>
    </row>
    <row r="97" spans="1:18">
      <c r="A97" s="1709" t="str">
        <f>+A96</f>
        <v>5. 31.12.50   INGRESOS FINANCIEROS</v>
      </c>
      <c r="B97" s="1700"/>
      <c r="C97" s="1700" t="str">
        <f>+'Bce Clasificado 31.12.2024'!B190</f>
        <v>4-1-13-002 Pérdida Valor Razonable</v>
      </c>
      <c r="D97" s="1710">
        <f>+'Bce Clasificado 31.12.2024'!D190</f>
        <v>-76000000</v>
      </c>
      <c r="E97" s="1702">
        <f t="shared" si="15"/>
        <v>1</v>
      </c>
      <c r="F97" s="1702"/>
      <c r="G97" s="1702"/>
      <c r="H97" s="1702"/>
      <c r="I97" s="1703"/>
      <c r="J97" s="1703"/>
      <c r="K97" s="1703"/>
      <c r="L97" s="1703"/>
      <c r="M97" s="1702"/>
      <c r="N97" s="1702">
        <f t="shared" si="12"/>
        <v>1</v>
      </c>
      <c r="O97" s="1704" t="str">
        <f t="shared" si="13"/>
        <v>Ok</v>
      </c>
      <c r="P97" s="1705"/>
      <c r="Q97" s="1706" t="s">
        <v>1713</v>
      </c>
      <c r="R97" s="1706" t="s">
        <v>203</v>
      </c>
    </row>
    <row r="98" spans="1:18">
      <c r="A98" s="1709" t="str">
        <f>+'Bce Clasificado 31.12.2024'!B196</f>
        <v>5. 31.12.60   COSTOS FINANCIEROS (menos)</v>
      </c>
      <c r="B98" s="1700"/>
      <c r="C98" s="1700" t="str">
        <f>+'Bce Clasificado 31.12.2024'!B193</f>
        <v>4-1-10-001 Intereses Pagados por Préstamos</v>
      </c>
      <c r="D98" s="1710">
        <f>+'Bce Clasificado 31.12.2024'!D193</f>
        <v>-60000000</v>
      </c>
      <c r="E98" s="1702">
        <f t="shared" si="15"/>
        <v>1</v>
      </c>
      <c r="F98" s="1702"/>
      <c r="G98" s="1702"/>
      <c r="H98" s="1702"/>
      <c r="I98" s="1703"/>
      <c r="J98" s="1703"/>
      <c r="K98" s="1703"/>
      <c r="L98" s="1703"/>
      <c r="M98" s="1702"/>
      <c r="N98" s="1702">
        <f t="shared" si="12"/>
        <v>1</v>
      </c>
      <c r="O98" s="1704" t="str">
        <f t="shared" si="13"/>
        <v>Ok</v>
      </c>
      <c r="P98" s="1705"/>
      <c r="Q98" s="1706" t="s">
        <v>1713</v>
      </c>
      <c r="R98" s="1706" t="s">
        <v>203</v>
      </c>
    </row>
    <row r="99" spans="1:18">
      <c r="A99" s="1709" t="str">
        <f>+A98</f>
        <v>5. 31.12.60   COSTOS FINANCIEROS (menos)</v>
      </c>
      <c r="B99" s="1700"/>
      <c r="C99" s="1700" t="str">
        <f>+'Bce Clasificado 31.12.2024'!B194</f>
        <v>4-1-10-002 Intereses Pagados por Leasing</v>
      </c>
      <c r="D99" s="1710">
        <f>+'Bce Clasificado 31.12.2024'!D194</f>
        <v>-3450587</v>
      </c>
      <c r="E99" s="1702" t="str">
        <f t="shared" si="15"/>
        <v/>
      </c>
      <c r="F99" s="1702"/>
      <c r="G99" s="1702"/>
      <c r="H99" s="1702"/>
      <c r="I99" s="1703"/>
      <c r="J99" s="1703"/>
      <c r="K99" s="1703"/>
      <c r="L99" s="1703"/>
      <c r="M99" s="1702"/>
      <c r="N99" s="1702">
        <f t="shared" si="12"/>
        <v>0</v>
      </c>
      <c r="O99" s="1704" t="str">
        <f t="shared" si="13"/>
        <v/>
      </c>
      <c r="P99" s="1705"/>
      <c r="Q99" s="1706"/>
      <c r="R99" s="1706"/>
    </row>
    <row r="100" spans="1:18">
      <c r="A100" s="1709" t="str">
        <f>+A99</f>
        <v>5. 31.12.60   COSTOS FINANCIEROS (menos)</v>
      </c>
      <c r="B100" s="1700"/>
      <c r="C100" s="1700" t="str">
        <f>+'Bce Clasificado 31.12.2024'!B195</f>
        <v>4-1-10-003 Intereses Pagados por Linea de Credito</v>
      </c>
      <c r="D100" s="1710">
        <f>+'Bce Clasificado 31.12.2024'!D195</f>
        <v>-5600000</v>
      </c>
      <c r="E100" s="1702" t="str">
        <f t="shared" si="15"/>
        <v/>
      </c>
      <c r="F100" s="1702"/>
      <c r="G100" s="1702"/>
      <c r="H100" s="1702"/>
      <c r="I100" s="1703"/>
      <c r="J100" s="1703"/>
      <c r="K100" s="1703"/>
      <c r="L100" s="1703"/>
      <c r="M100" s="1702"/>
      <c r="N100" s="1702">
        <f t="shared" si="12"/>
        <v>0</v>
      </c>
      <c r="O100" s="1704" t="str">
        <f t="shared" si="13"/>
        <v/>
      </c>
      <c r="P100" s="1705"/>
      <c r="Q100" s="1706"/>
      <c r="R100" s="1706"/>
    </row>
    <row r="101" spans="1:18">
      <c r="A101" s="1709" t="str">
        <f>+'Bce Clasificado 31.12.2024'!B199</f>
        <v>5. 31.12.70   DETERIORO CUENTAS POR COBRAR (menos)</v>
      </c>
      <c r="B101" s="1700"/>
      <c r="C101" s="1700" t="str">
        <f>+A101</f>
        <v>5. 31.12.70   DETERIORO CUENTAS POR COBRAR (menos)</v>
      </c>
      <c r="D101" s="1710">
        <f>+'Bce Clasificado 31.12.2024'!D198</f>
        <v>-39021000</v>
      </c>
      <c r="E101" s="1702">
        <f t="shared" si="15"/>
        <v>1</v>
      </c>
      <c r="F101" s="1702"/>
      <c r="G101" s="1702"/>
      <c r="H101" s="1702"/>
      <c r="I101" s="1703"/>
      <c r="J101" s="1703"/>
      <c r="K101" s="1703"/>
      <c r="L101" s="1703"/>
      <c r="M101" s="1702"/>
      <c r="N101" s="1702">
        <f t="shared" si="12"/>
        <v>1</v>
      </c>
      <c r="O101" s="1704" t="str">
        <f t="shared" si="13"/>
        <v>Ok</v>
      </c>
      <c r="P101" s="1705"/>
      <c r="Q101" s="1706" t="s">
        <v>1713</v>
      </c>
      <c r="R101" s="1706" t="s">
        <v>203</v>
      </c>
    </row>
    <row r="102" spans="1:18">
      <c r="A102" s="1709" t="str">
        <f>+'Bce Clasificado 31.12.2024'!B205</f>
        <v>5. 31.12.80   RESULTADOS POR UNIDADES DE REAJUSTE</v>
      </c>
      <c r="B102" s="1700"/>
      <c r="C102" s="1700" t="str">
        <f>+'Bce Clasificado 31.12.2024'!B201</f>
        <v>4-1-12-008 Corrección Monetaria Existencias</v>
      </c>
      <c r="D102" s="1710">
        <f>+'Bce Clasificado 31.12.2024'!D201</f>
        <v>72056727</v>
      </c>
      <c r="E102" s="1702">
        <f t="shared" si="15"/>
        <v>1</v>
      </c>
      <c r="F102" s="1702"/>
      <c r="G102" s="1702"/>
      <c r="H102" s="1702"/>
      <c r="I102" s="1703"/>
      <c r="J102" s="1703"/>
      <c r="K102" s="1703"/>
      <c r="L102" s="1703"/>
      <c r="M102" s="1702"/>
      <c r="N102" s="1702">
        <f t="shared" si="12"/>
        <v>1</v>
      </c>
      <c r="O102" s="1704" t="str">
        <f t="shared" si="13"/>
        <v>Ok</v>
      </c>
      <c r="P102" s="1705"/>
      <c r="Q102" s="1706" t="s">
        <v>1713</v>
      </c>
      <c r="R102" s="1706" t="s">
        <v>203</v>
      </c>
    </row>
    <row r="103" spans="1:18">
      <c r="A103" s="1709" t="str">
        <f>+A102</f>
        <v>5. 31.12.80   RESULTADOS POR UNIDADES DE REAJUSTE</v>
      </c>
      <c r="B103" s="1700"/>
      <c r="C103" s="1700" t="str">
        <f>+'Bce Clasificado 31.12.2024'!B202</f>
        <v>4-1-12-009 Corrección Monetaria Patrimonio</v>
      </c>
      <c r="D103" s="1710">
        <f>+'Bce Clasificado 31.12.2024'!D202</f>
        <v>-31500000</v>
      </c>
      <c r="E103" s="1702">
        <f t="shared" si="15"/>
        <v>1</v>
      </c>
      <c r="F103" s="1702"/>
      <c r="G103" s="1702"/>
      <c r="H103" s="1702"/>
      <c r="I103" s="1703"/>
      <c r="J103" s="1703"/>
      <c r="K103" s="1703"/>
      <c r="L103" s="1703"/>
      <c r="M103" s="1702"/>
      <c r="N103" s="1702">
        <f t="shared" si="12"/>
        <v>1</v>
      </c>
      <c r="O103" s="1704" t="str">
        <f t="shared" si="13"/>
        <v>Ok</v>
      </c>
      <c r="P103" s="1705"/>
      <c r="Q103" s="1706" t="s">
        <v>1713</v>
      </c>
      <c r="R103" s="1706" t="s">
        <v>203</v>
      </c>
    </row>
    <row r="104" spans="1:18">
      <c r="A104" s="1709" t="str">
        <f>+A103</f>
        <v>5. 31.12.80   RESULTADOS POR UNIDADES DE REAJUSTE</v>
      </c>
      <c r="B104" s="1700"/>
      <c r="C104" s="1700" t="str">
        <f>+'Bce Clasificado 31.12.2024'!B203</f>
        <v>4-1-12-010 Corrección Monetaria PPM</v>
      </c>
      <c r="D104" s="1710">
        <f>+'Bce Clasificado 31.12.2024'!D203</f>
        <v>2629000</v>
      </c>
      <c r="E104" s="1702" t="str">
        <f t="shared" si="15"/>
        <v/>
      </c>
      <c r="F104" s="1702"/>
      <c r="G104" s="1702"/>
      <c r="H104" s="1702"/>
      <c r="I104" s="1703"/>
      <c r="J104" s="1703"/>
      <c r="K104" s="1703"/>
      <c r="L104" s="1703"/>
      <c r="M104" s="1702"/>
      <c r="N104" s="1702">
        <f t="shared" si="12"/>
        <v>0</v>
      </c>
      <c r="O104" s="1704" t="str">
        <f t="shared" si="13"/>
        <v/>
      </c>
      <c r="P104" s="1705"/>
      <c r="Q104" s="1706"/>
      <c r="R104" s="1706"/>
    </row>
    <row r="105" spans="1:18" s="2009" customFormat="1">
      <c r="A105" s="2001" t="str">
        <f>+'Bce Clasificado 31.12.2024'!B208</f>
        <v>5. 31.12.90   DIFERENCIA DE CAMBIO</v>
      </c>
      <c r="B105" s="2002"/>
      <c r="C105" s="2002" t="str">
        <f>+A105</f>
        <v>5. 31.12.90   DIFERENCIA DE CAMBIO</v>
      </c>
      <c r="D105" s="2003">
        <f>+'Bce Clasificado 31.12.2024'!D207</f>
        <v>4000000</v>
      </c>
      <c r="E105" s="2004" t="str">
        <f t="shared" si="15"/>
        <v/>
      </c>
      <c r="F105" s="2004"/>
      <c r="G105" s="2004"/>
      <c r="H105" s="2004"/>
      <c r="I105" s="2005"/>
      <c r="J105" s="2005"/>
      <c r="K105" s="2005"/>
      <c r="L105" s="2005"/>
      <c r="M105" s="2004">
        <v>1</v>
      </c>
      <c r="N105" s="2004">
        <f t="shared" si="12"/>
        <v>1</v>
      </c>
      <c r="O105" s="2006" t="str">
        <f t="shared" si="13"/>
        <v>Ok</v>
      </c>
      <c r="P105" s="2007"/>
      <c r="Q105" s="2008"/>
      <c r="R105" s="2008"/>
    </row>
    <row r="106" spans="1:18">
      <c r="A106" s="1709" t="str">
        <f>+'Bce Clasificado 31.12.2024'!B211</f>
        <v>5. 31.20.00   IMPUESTO A LA RENTA</v>
      </c>
      <c r="B106" s="1700"/>
      <c r="C106" s="1700" t="str">
        <f>+A106</f>
        <v>5. 31.20.00   IMPUESTO A LA RENTA</v>
      </c>
      <c r="D106" s="1710">
        <f>+'Bce Clasificado 31.12.2024'!D210</f>
        <v>-180000000</v>
      </c>
      <c r="E106" s="1702">
        <f t="shared" si="15"/>
        <v>1</v>
      </c>
      <c r="F106" s="1702"/>
      <c r="G106" s="1702"/>
      <c r="H106" s="1702"/>
      <c r="I106" s="1703"/>
      <c r="J106" s="1703"/>
      <c r="K106" s="1703"/>
      <c r="L106" s="1703"/>
      <c r="M106" s="1702"/>
      <c r="N106" s="1702">
        <f t="shared" si="12"/>
        <v>1</v>
      </c>
      <c r="O106" s="1704" t="str">
        <f t="shared" si="13"/>
        <v>Ok</v>
      </c>
      <c r="P106" s="1705"/>
      <c r="Q106" s="1706" t="s">
        <v>1713</v>
      </c>
      <c r="R106" s="1706" t="s">
        <v>203</v>
      </c>
    </row>
    <row r="107" spans="1:18">
      <c r="A107" s="1709"/>
      <c r="B107" s="1700"/>
      <c r="C107" s="1711"/>
      <c r="D107" s="1710"/>
      <c r="E107" s="1702" t="str">
        <f t="shared" ref="E107:E108" si="19">IF(ABS(D107)&gt;$D$3,1,"")</f>
        <v/>
      </c>
      <c r="F107" s="1702"/>
      <c r="G107" s="1702"/>
      <c r="H107" s="1702"/>
      <c r="I107" s="1703"/>
      <c r="J107" s="1703"/>
      <c r="K107" s="1703"/>
      <c r="L107" s="1703"/>
      <c r="M107" s="1702"/>
      <c r="N107" s="1702">
        <f t="shared" si="12"/>
        <v>0</v>
      </c>
      <c r="O107" s="1704"/>
      <c r="P107" s="1705"/>
      <c r="Q107" s="1706"/>
      <c r="R107" s="1706"/>
    </row>
    <row r="108" spans="1:18">
      <c r="A108" s="1709"/>
      <c r="B108" s="1700"/>
      <c r="C108" s="1711"/>
      <c r="D108" s="1710"/>
      <c r="E108" s="1702" t="str">
        <f t="shared" si="19"/>
        <v/>
      </c>
      <c r="F108" s="1702"/>
      <c r="G108" s="1702"/>
      <c r="H108" s="1702"/>
      <c r="I108" s="1703"/>
      <c r="J108" s="1703"/>
      <c r="K108" s="1703"/>
      <c r="L108" s="1703"/>
      <c r="M108" s="1702"/>
      <c r="N108" s="1702">
        <f t="shared" si="12"/>
        <v>0</v>
      </c>
      <c r="O108" s="1704" t="str">
        <f t="shared" si="13"/>
        <v/>
      </c>
      <c r="P108" s="1705">
        <f t="shared" si="14"/>
        <v>0</v>
      </c>
      <c r="Q108" s="1706"/>
      <c r="R108" s="1706"/>
    </row>
    <row r="109" spans="1:18">
      <c r="A109" s="1712"/>
      <c r="B109" s="1713"/>
      <c r="C109" s="1714"/>
      <c r="D109" s="1715"/>
      <c r="E109" s="1716"/>
      <c r="F109" s="1705"/>
      <c r="G109" s="1705"/>
      <c r="H109" s="1705"/>
      <c r="I109" s="1705"/>
      <c r="J109" s="1705"/>
      <c r="K109" s="1705"/>
      <c r="L109" s="1705"/>
      <c r="M109" s="1705"/>
      <c r="N109" s="1705"/>
      <c r="O109" s="1705"/>
      <c r="P109" s="1705"/>
      <c r="Q109" s="1717"/>
      <c r="R109" s="1717"/>
    </row>
    <row r="110" spans="1:18">
      <c r="A110" s="1712"/>
      <c r="B110" s="1713"/>
      <c r="C110" s="1714"/>
      <c r="D110" s="1715"/>
      <c r="E110" s="1716"/>
      <c r="F110" s="1705"/>
      <c r="G110" s="1705"/>
      <c r="H110" s="1705"/>
      <c r="I110" s="1705"/>
      <c r="J110" s="1705"/>
      <c r="K110" s="1705"/>
      <c r="L110" s="1705"/>
      <c r="M110" s="1705"/>
      <c r="N110" s="1705"/>
      <c r="O110" s="1705"/>
      <c r="P110" s="1705"/>
      <c r="Q110" s="1717"/>
      <c r="R110" s="1717"/>
    </row>
    <row r="111" spans="1:18">
      <c r="A111" s="1718" t="s">
        <v>1511</v>
      </c>
      <c r="B111" s="1705"/>
      <c r="C111" s="1717"/>
      <c r="D111" s="1717"/>
      <c r="E111" s="1705"/>
      <c r="F111" s="1705"/>
      <c r="G111" s="1705"/>
      <c r="H111" s="1705"/>
      <c r="I111" s="1705"/>
      <c r="J111" s="1705"/>
      <c r="K111" s="1705"/>
      <c r="L111" s="1705"/>
      <c r="M111" s="1705"/>
      <c r="N111" s="1705"/>
      <c r="O111" s="1705"/>
      <c r="P111" s="1705"/>
      <c r="Q111" s="1717"/>
      <c r="R111" s="1717"/>
    </row>
    <row r="112" spans="1:18">
      <c r="A112" s="1719" t="s">
        <v>1512</v>
      </c>
      <c r="B112" s="1705"/>
      <c r="C112" s="1717"/>
      <c r="D112" s="1717"/>
      <c r="E112" s="1705"/>
      <c r="F112" s="1705"/>
      <c r="G112" s="1705"/>
      <c r="H112" s="1705"/>
      <c r="I112" s="1705"/>
      <c r="J112" s="1705"/>
      <c r="K112" s="1705"/>
      <c r="L112" s="1705"/>
      <c r="M112" s="1705"/>
      <c r="N112" s="1705"/>
      <c r="O112" s="1705"/>
      <c r="P112" s="1705"/>
      <c r="Q112" s="1717"/>
      <c r="R112" s="1717"/>
    </row>
    <row r="113" spans="1:18">
      <c r="A113" s="1719" t="s">
        <v>1513</v>
      </c>
      <c r="B113" s="1705"/>
      <c r="C113" s="1717"/>
      <c r="D113" s="1717"/>
      <c r="E113" s="1705"/>
      <c r="F113" s="1705"/>
      <c r="G113" s="1705"/>
      <c r="H113" s="1705"/>
      <c r="I113" s="1705"/>
      <c r="J113" s="1705"/>
      <c r="K113" s="1705"/>
      <c r="L113" s="1705"/>
      <c r="M113" s="1705"/>
      <c r="N113" s="1705"/>
      <c r="O113" s="1705"/>
      <c r="P113" s="1705"/>
      <c r="Q113" s="1717"/>
      <c r="R113" s="1717"/>
    </row>
    <row r="114" spans="1:18">
      <c r="A114" s="1719" t="s">
        <v>1514</v>
      </c>
      <c r="B114" s="1705"/>
      <c r="C114" s="1717"/>
      <c r="D114" s="1717"/>
      <c r="E114" s="1705"/>
      <c r="F114" s="1705"/>
      <c r="G114" s="1705"/>
      <c r="H114" s="1705"/>
      <c r="I114" s="1705"/>
      <c r="J114" s="1705"/>
      <c r="K114" s="1705"/>
      <c r="L114" s="1705"/>
      <c r="M114" s="1705"/>
      <c r="N114" s="1705"/>
      <c r="O114" s="1705"/>
      <c r="P114" s="1705"/>
      <c r="Q114" s="1717"/>
      <c r="R114" s="1717"/>
    </row>
    <row r="115" spans="1:18">
      <c r="A115" s="1719" t="s">
        <v>1515</v>
      </c>
      <c r="B115" s="1705"/>
      <c r="C115" s="1717"/>
      <c r="D115" s="1717"/>
      <c r="E115" s="1705"/>
      <c r="F115" s="1705"/>
      <c r="G115" s="1705"/>
      <c r="H115" s="1705"/>
      <c r="I115" s="1705"/>
      <c r="J115" s="1705"/>
      <c r="K115" s="1705"/>
      <c r="L115" s="1705"/>
      <c r="M115" s="1705"/>
      <c r="N115" s="1705"/>
      <c r="O115" s="1705"/>
      <c r="P115" s="1705"/>
      <c r="Q115" s="1717"/>
      <c r="R115" s="1717"/>
    </row>
    <row r="116" spans="1:18">
      <c r="A116" s="1719" t="s">
        <v>1516</v>
      </c>
      <c r="B116" s="1705"/>
      <c r="C116" s="1717"/>
      <c r="D116" s="1717"/>
      <c r="E116" s="1705"/>
      <c r="F116" s="1705"/>
      <c r="G116" s="1705"/>
      <c r="H116" s="1705"/>
      <c r="I116" s="1705"/>
      <c r="J116" s="1705"/>
      <c r="K116" s="1705"/>
      <c r="L116" s="1705"/>
      <c r="M116" s="1705"/>
      <c r="N116" s="1705"/>
      <c r="O116" s="1705"/>
      <c r="P116" s="1705"/>
      <c r="Q116" s="1717"/>
      <c r="R116" s="1717"/>
    </row>
    <row r="117" spans="1:18">
      <c r="A117" s="1719" t="s">
        <v>1517</v>
      </c>
      <c r="B117" s="1705"/>
      <c r="C117" s="1717"/>
      <c r="D117" s="1717"/>
      <c r="E117" s="1705"/>
      <c r="F117" s="1705"/>
      <c r="G117" s="1705"/>
      <c r="H117" s="1705"/>
      <c r="I117" s="1705"/>
      <c r="J117" s="1705"/>
      <c r="K117" s="1705"/>
      <c r="L117" s="1705"/>
      <c r="M117" s="1705"/>
      <c r="N117" s="1705"/>
      <c r="O117" s="1705"/>
      <c r="P117" s="1705"/>
      <c r="Q117" s="1717"/>
      <c r="R117" s="1717"/>
    </row>
    <row r="118" spans="1:18">
      <c r="A118" s="1719" t="s">
        <v>1518</v>
      </c>
      <c r="B118" s="1705"/>
      <c r="C118" s="1717"/>
      <c r="D118" s="1717"/>
      <c r="E118" s="1705"/>
      <c r="F118" s="1705"/>
      <c r="G118" s="1705"/>
      <c r="H118" s="1705"/>
      <c r="I118" s="1705"/>
      <c r="J118" s="1705"/>
      <c r="K118" s="1705"/>
      <c r="L118" s="1705"/>
      <c r="M118" s="1705"/>
      <c r="N118" s="1705"/>
      <c r="O118" s="1705"/>
      <c r="P118" s="1705"/>
      <c r="Q118" s="1717"/>
      <c r="R118" s="1717"/>
    </row>
    <row r="119" spans="1:18">
      <c r="A119" s="1719" t="s">
        <v>1519</v>
      </c>
      <c r="B119" s="1705"/>
      <c r="C119" s="1717"/>
      <c r="D119" s="1717"/>
      <c r="E119" s="1705"/>
      <c r="F119" s="1705"/>
      <c r="G119" s="1705"/>
      <c r="H119" s="1705"/>
      <c r="I119" s="1705"/>
      <c r="J119" s="1705"/>
      <c r="K119" s="1705"/>
      <c r="L119" s="1705"/>
      <c r="M119" s="1705"/>
      <c r="N119" s="1705"/>
      <c r="O119" s="1705"/>
      <c r="P119" s="1705"/>
      <c r="Q119" s="1717"/>
      <c r="R119" s="1717"/>
    </row>
    <row r="120" spans="1:18">
      <c r="A120" s="1719" t="s">
        <v>1520</v>
      </c>
      <c r="B120" s="1705"/>
      <c r="C120" s="1717"/>
      <c r="D120" s="1717"/>
      <c r="E120" s="1705"/>
      <c r="F120" s="1705"/>
      <c r="G120" s="1705"/>
      <c r="H120" s="1705"/>
      <c r="I120" s="1705"/>
      <c r="J120" s="1705"/>
      <c r="K120" s="1705"/>
      <c r="L120" s="1705"/>
      <c r="M120" s="1705"/>
      <c r="N120" s="1705"/>
      <c r="O120" s="1705"/>
      <c r="P120" s="1705"/>
      <c r="Q120" s="1717"/>
      <c r="R120" s="1717"/>
    </row>
    <row r="121" spans="1:18">
      <c r="A121" s="1719" t="s">
        <v>1521</v>
      </c>
      <c r="B121" s="1705"/>
      <c r="C121" s="1717"/>
      <c r="D121" s="1717"/>
      <c r="E121" s="1705"/>
      <c r="F121" s="1705"/>
      <c r="G121" s="1705"/>
      <c r="H121" s="1705"/>
      <c r="I121" s="1705"/>
      <c r="J121" s="1705"/>
      <c r="K121" s="1705"/>
      <c r="L121" s="1705"/>
      <c r="M121" s="1705"/>
      <c r="N121" s="1705"/>
      <c r="O121" s="1705"/>
      <c r="P121" s="1705"/>
      <c r="Q121" s="1717"/>
      <c r="R121" s="1717"/>
    </row>
    <row r="122" spans="1:18">
      <c r="A122" s="1719" t="s">
        <v>1522</v>
      </c>
      <c r="B122" s="1705"/>
      <c r="C122" s="1717"/>
      <c r="D122" s="1717"/>
      <c r="E122" s="1705"/>
      <c r="F122" s="1705"/>
      <c r="G122" s="1705"/>
      <c r="H122" s="1705"/>
      <c r="I122" s="1705"/>
      <c r="J122" s="1705"/>
      <c r="K122" s="1705"/>
      <c r="L122" s="1705"/>
      <c r="M122" s="1705"/>
      <c r="N122" s="1705"/>
      <c r="O122" s="1705"/>
      <c r="P122" s="1705"/>
      <c r="Q122" s="1717"/>
      <c r="R122" s="1717"/>
    </row>
    <row r="123" spans="1:18">
      <c r="A123" s="1705"/>
      <c r="B123" s="1705"/>
      <c r="C123" s="1717"/>
      <c r="D123" s="1717"/>
      <c r="E123" s="1705"/>
      <c r="F123" s="1705"/>
      <c r="G123" s="1705"/>
      <c r="H123" s="1705"/>
      <c r="I123" s="1705"/>
      <c r="J123" s="1705"/>
      <c r="K123" s="1705"/>
      <c r="L123" s="1705"/>
      <c r="M123" s="1705"/>
      <c r="N123" s="1705"/>
      <c r="O123" s="1705"/>
      <c r="P123" s="1705"/>
      <c r="Q123" s="1717"/>
      <c r="R123" s="1717"/>
    </row>
    <row r="124" spans="1:18">
      <c r="A124" s="1705"/>
      <c r="B124" s="1705"/>
      <c r="C124" s="1717"/>
      <c r="D124" s="1717"/>
      <c r="E124" s="1705"/>
      <c r="F124" s="1705"/>
      <c r="G124" s="1705"/>
      <c r="H124" s="1705"/>
      <c r="I124" s="1705"/>
      <c r="J124" s="1705"/>
      <c r="K124" s="1705"/>
      <c r="L124" s="1705"/>
      <c r="M124" s="1705"/>
      <c r="N124" s="1705"/>
      <c r="O124" s="1705"/>
      <c r="P124" s="1705"/>
      <c r="Q124" s="1717"/>
      <c r="R124" s="1717"/>
    </row>
    <row r="125" spans="1:18">
      <c r="A125" s="1705"/>
      <c r="B125" s="1705"/>
      <c r="C125" s="1717"/>
      <c r="D125" s="1717"/>
      <c r="E125" s="1705"/>
      <c r="F125" s="1705"/>
      <c r="G125" s="1705"/>
      <c r="H125" s="1705"/>
      <c r="I125" s="1705"/>
      <c r="J125" s="1705"/>
      <c r="K125" s="1705"/>
      <c r="L125" s="1705"/>
      <c r="M125" s="1705"/>
      <c r="N125" s="1705"/>
      <c r="O125" s="1705"/>
      <c r="P125" s="1705"/>
      <c r="Q125" s="1717"/>
      <c r="R125" s="1717"/>
    </row>
    <row r="126" spans="1:18">
      <c r="A126" s="1705"/>
      <c r="B126" s="1705"/>
      <c r="C126" s="1717"/>
      <c r="D126" s="1717"/>
      <c r="E126" s="1705"/>
      <c r="F126" s="1705"/>
      <c r="G126" s="1705"/>
      <c r="H126" s="1705"/>
      <c r="I126" s="1705"/>
      <c r="J126" s="1705"/>
      <c r="K126" s="1705"/>
      <c r="L126" s="1705"/>
      <c r="M126" s="1705"/>
      <c r="N126" s="1705"/>
      <c r="O126" s="1705"/>
      <c r="P126" s="1705"/>
      <c r="Q126" s="1717"/>
      <c r="R126" s="1717"/>
    </row>
    <row r="127" spans="1:18">
      <c r="A127" s="1705"/>
      <c r="B127" s="1705"/>
      <c r="C127" s="1717"/>
      <c r="D127" s="1717"/>
      <c r="E127" s="1705"/>
      <c r="F127" s="1705"/>
      <c r="G127" s="1705"/>
      <c r="H127" s="1705"/>
      <c r="I127" s="1705"/>
      <c r="J127" s="1705"/>
      <c r="K127" s="1705"/>
      <c r="L127" s="1705"/>
      <c r="M127" s="1705"/>
      <c r="N127" s="1705"/>
      <c r="O127" s="1705"/>
      <c r="P127" s="1705"/>
      <c r="Q127" s="1717"/>
      <c r="R127" s="1717"/>
    </row>
    <row r="128" spans="1:18">
      <c r="A128" s="1705"/>
      <c r="B128" s="1705"/>
      <c r="C128" s="1717"/>
      <c r="D128" s="1717"/>
      <c r="E128" s="1705"/>
      <c r="F128" s="1705"/>
      <c r="G128" s="1705"/>
      <c r="H128" s="1705"/>
      <c r="I128" s="1705"/>
      <c r="J128" s="1705"/>
      <c r="K128" s="1705"/>
      <c r="L128" s="1705"/>
      <c r="M128" s="1705"/>
      <c r="N128" s="1705"/>
      <c r="O128" s="1705"/>
      <c r="P128" s="1705"/>
      <c r="Q128" s="1717"/>
      <c r="R128" s="1717"/>
    </row>
    <row r="129" spans="1:18">
      <c r="A129" s="1705"/>
      <c r="B129" s="1705"/>
      <c r="C129" s="1717"/>
      <c r="D129" s="1717"/>
      <c r="E129" s="1705"/>
      <c r="F129" s="1705"/>
      <c r="G129" s="1705"/>
      <c r="H129" s="1705"/>
      <c r="I129" s="1705"/>
      <c r="J129" s="1705"/>
      <c r="K129" s="1705"/>
      <c r="L129" s="1705"/>
      <c r="M129" s="1705"/>
      <c r="N129" s="1705"/>
      <c r="O129" s="1705"/>
      <c r="P129" s="1705"/>
      <c r="Q129" s="1717"/>
      <c r="R129" s="1717"/>
    </row>
    <row r="130" spans="1:18">
      <c r="A130" s="1705"/>
      <c r="B130" s="1705"/>
      <c r="C130" s="1717"/>
      <c r="D130" s="1717"/>
      <c r="E130" s="1705"/>
      <c r="F130" s="1705"/>
      <c r="G130" s="1705"/>
      <c r="H130" s="1705"/>
      <c r="I130" s="1705"/>
      <c r="J130" s="1705"/>
      <c r="K130" s="1705"/>
      <c r="L130" s="1705"/>
      <c r="M130" s="1705"/>
      <c r="N130" s="1705"/>
      <c r="O130" s="1705"/>
      <c r="P130" s="1705"/>
      <c r="Q130" s="1717"/>
      <c r="R130" s="1717"/>
    </row>
    <row r="131" spans="1:18">
      <c r="A131" s="1705"/>
      <c r="B131" s="1705"/>
      <c r="C131" s="1717"/>
      <c r="D131" s="1717"/>
      <c r="E131" s="1705"/>
      <c r="F131" s="1705"/>
      <c r="G131" s="1705"/>
      <c r="H131" s="1705"/>
      <c r="I131" s="1705"/>
      <c r="J131" s="1705"/>
      <c r="K131" s="1705"/>
      <c r="L131" s="1705"/>
      <c r="M131" s="1705"/>
      <c r="N131" s="1705"/>
      <c r="O131" s="1705"/>
      <c r="P131" s="1705"/>
      <c r="Q131" s="1717"/>
      <c r="R131" s="1717"/>
    </row>
    <row r="132" spans="1:18">
      <c r="A132" s="1705"/>
      <c r="B132" s="1705"/>
      <c r="C132" s="1717"/>
      <c r="D132" s="1717"/>
      <c r="E132" s="1705"/>
      <c r="F132" s="1705"/>
      <c r="G132" s="1705"/>
      <c r="H132" s="1705"/>
      <c r="I132" s="1705"/>
      <c r="J132" s="1705"/>
      <c r="K132" s="1705"/>
      <c r="L132" s="1705"/>
      <c r="M132" s="1705"/>
      <c r="N132" s="1705"/>
      <c r="O132" s="1705"/>
      <c r="P132" s="1705"/>
      <c r="Q132" s="1717"/>
      <c r="R132" s="1717"/>
    </row>
    <row r="133" spans="1:18">
      <c r="A133" s="1705"/>
      <c r="B133" s="1705"/>
      <c r="C133" s="1717"/>
      <c r="D133" s="1717"/>
      <c r="E133" s="1705"/>
      <c r="F133" s="1705"/>
      <c r="G133" s="1705"/>
      <c r="H133" s="1705"/>
      <c r="I133" s="1705"/>
      <c r="J133" s="1705"/>
      <c r="K133" s="1705"/>
      <c r="L133" s="1705"/>
      <c r="M133" s="1705"/>
      <c r="N133" s="1705"/>
      <c r="O133" s="1705"/>
      <c r="P133" s="1705"/>
      <c r="Q133" s="1717"/>
      <c r="R133" s="1717"/>
    </row>
    <row r="134" spans="1:18">
      <c r="A134" s="1705"/>
      <c r="B134" s="1705"/>
      <c r="C134" s="1717"/>
      <c r="D134" s="1717"/>
      <c r="E134" s="1705"/>
      <c r="F134" s="1705"/>
      <c r="G134" s="1705"/>
      <c r="H134" s="1705"/>
      <c r="I134" s="1705"/>
      <c r="J134" s="1705"/>
      <c r="K134" s="1705"/>
      <c r="L134" s="1705"/>
      <c r="M134" s="1705"/>
      <c r="N134" s="1705"/>
      <c r="O134" s="1705"/>
      <c r="P134" s="1705"/>
      <c r="Q134" s="1717"/>
      <c r="R134" s="1717"/>
    </row>
    <row r="135" spans="1:18">
      <c r="A135" s="1705"/>
      <c r="B135" s="1705"/>
      <c r="C135" s="1717"/>
      <c r="D135" s="1717"/>
      <c r="E135" s="1705"/>
      <c r="F135" s="1705"/>
      <c r="G135" s="1705"/>
      <c r="H135" s="1705"/>
      <c r="I135" s="1705"/>
      <c r="J135" s="1705"/>
      <c r="K135" s="1705"/>
      <c r="L135" s="1705"/>
      <c r="M135" s="1705"/>
      <c r="N135" s="1705"/>
      <c r="O135" s="1705"/>
      <c r="P135" s="1705"/>
      <c r="Q135" s="1717"/>
      <c r="R135" s="1717"/>
    </row>
    <row r="136" spans="1:18">
      <c r="A136" s="1705"/>
      <c r="B136" s="1705"/>
      <c r="C136" s="1717"/>
      <c r="D136" s="1717"/>
      <c r="E136" s="1705"/>
      <c r="F136" s="1705"/>
      <c r="G136" s="1705"/>
      <c r="H136" s="1705"/>
      <c r="I136" s="1705"/>
      <c r="J136" s="1705"/>
      <c r="K136" s="1705"/>
      <c r="L136" s="1705"/>
      <c r="M136" s="1705"/>
      <c r="N136" s="1705"/>
      <c r="O136" s="1705"/>
      <c r="P136" s="1705"/>
      <c r="Q136" s="1717"/>
      <c r="R136" s="1717"/>
    </row>
    <row r="137" spans="1:18">
      <c r="A137" s="1705"/>
      <c r="B137" s="1705"/>
      <c r="C137" s="1717"/>
      <c r="D137" s="1717"/>
      <c r="E137" s="1705"/>
      <c r="F137" s="1705"/>
      <c r="G137" s="1705"/>
      <c r="H137" s="1705"/>
      <c r="I137" s="1705"/>
      <c r="J137" s="1705"/>
      <c r="K137" s="1705"/>
      <c r="L137" s="1705"/>
      <c r="M137" s="1705"/>
      <c r="N137" s="1705"/>
      <c r="O137" s="1705"/>
      <c r="P137" s="1705"/>
      <c r="Q137" s="1717"/>
      <c r="R137" s="1717"/>
    </row>
    <row r="138" spans="1:18">
      <c r="A138" s="1705"/>
      <c r="B138" s="1705"/>
      <c r="C138" s="1717"/>
      <c r="D138" s="1717"/>
      <c r="E138" s="1705"/>
      <c r="F138" s="1705"/>
      <c r="G138" s="1705"/>
      <c r="H138" s="1705"/>
      <c r="I138" s="1705"/>
      <c r="J138" s="1705"/>
      <c r="K138" s="1705"/>
      <c r="L138" s="1705"/>
      <c r="M138" s="1705"/>
      <c r="N138" s="1705"/>
      <c r="O138" s="1705"/>
      <c r="P138" s="1705"/>
      <c r="Q138" s="1717"/>
      <c r="R138" s="1717"/>
    </row>
    <row r="139" spans="1:18">
      <c r="A139" s="1705"/>
      <c r="B139" s="1705"/>
      <c r="C139" s="1717"/>
      <c r="D139" s="1717"/>
      <c r="E139" s="1705"/>
      <c r="F139" s="1705"/>
      <c r="G139" s="1705"/>
      <c r="H139" s="1705"/>
      <c r="I139" s="1705"/>
      <c r="J139" s="1705"/>
      <c r="K139" s="1705"/>
      <c r="L139" s="1705"/>
      <c r="M139" s="1705"/>
      <c r="N139" s="1705"/>
      <c r="O139" s="1705"/>
      <c r="P139" s="1705"/>
      <c r="Q139" s="1717"/>
      <c r="R139" s="1717"/>
    </row>
    <row r="140" spans="1:18">
      <c r="A140" s="1705"/>
      <c r="B140" s="1705"/>
      <c r="C140" s="1717"/>
      <c r="D140" s="1717"/>
      <c r="E140" s="1705"/>
      <c r="F140" s="1705"/>
      <c r="G140" s="1705"/>
      <c r="H140" s="1705"/>
      <c r="I140" s="1705"/>
      <c r="J140" s="1705"/>
      <c r="K140" s="1705"/>
      <c r="L140" s="1705"/>
      <c r="M140" s="1705"/>
      <c r="N140" s="1705"/>
      <c r="O140" s="1705"/>
      <c r="P140" s="1705"/>
      <c r="Q140" s="1717"/>
      <c r="R140" s="1717"/>
    </row>
    <row r="141" spans="1:18">
      <c r="A141" s="1705"/>
      <c r="B141" s="1705"/>
      <c r="C141" s="1717"/>
      <c r="D141" s="1717"/>
      <c r="E141" s="1705"/>
      <c r="F141" s="1705"/>
      <c r="G141" s="1705"/>
      <c r="H141" s="1705"/>
      <c r="I141" s="1705"/>
      <c r="J141" s="1705"/>
      <c r="K141" s="1705"/>
      <c r="L141" s="1705"/>
      <c r="M141" s="1705"/>
      <c r="N141" s="1705"/>
      <c r="O141" s="1705"/>
      <c r="P141" s="1705"/>
      <c r="Q141" s="1717"/>
      <c r="R141" s="1717"/>
    </row>
    <row r="142" spans="1:18">
      <c r="A142" s="1705"/>
      <c r="B142" s="1705"/>
      <c r="C142" s="1717"/>
      <c r="D142" s="1717"/>
      <c r="E142" s="1705"/>
      <c r="F142" s="1705"/>
      <c r="G142" s="1705"/>
      <c r="H142" s="1705"/>
      <c r="I142" s="1705"/>
      <c r="J142" s="1705"/>
      <c r="K142" s="1705"/>
      <c r="L142" s="1705"/>
      <c r="M142" s="1705"/>
      <c r="N142" s="1705"/>
      <c r="O142" s="1705"/>
      <c r="P142" s="1705"/>
      <c r="Q142" s="1717"/>
      <c r="R142" s="1717"/>
    </row>
    <row r="143" spans="1:18">
      <c r="A143" s="1705"/>
      <c r="B143" s="1705"/>
      <c r="C143" s="1717"/>
      <c r="D143" s="1717"/>
      <c r="E143" s="1705"/>
      <c r="F143" s="1705"/>
      <c r="G143" s="1705"/>
      <c r="H143" s="1705"/>
      <c r="I143" s="1705"/>
      <c r="J143" s="1705"/>
      <c r="K143" s="1705"/>
      <c r="L143" s="1705"/>
      <c r="M143" s="1705"/>
      <c r="N143" s="1705"/>
      <c r="O143" s="1705"/>
      <c r="P143" s="1705"/>
      <c r="Q143" s="1717"/>
      <c r="R143" s="1717"/>
    </row>
    <row r="144" spans="1:18">
      <c r="A144" s="1705"/>
      <c r="B144" s="1705"/>
      <c r="C144" s="1717"/>
      <c r="D144" s="1717"/>
      <c r="E144" s="1705"/>
      <c r="F144" s="1705"/>
      <c r="G144" s="1705"/>
      <c r="H144" s="1705"/>
      <c r="I144" s="1705"/>
      <c r="J144" s="1705"/>
      <c r="K144" s="1705"/>
      <c r="L144" s="1705"/>
      <c r="M144" s="1705"/>
      <c r="N144" s="1705"/>
      <c r="O144" s="1705"/>
      <c r="P144" s="1705"/>
      <c r="Q144" s="1717"/>
      <c r="R144" s="1717"/>
    </row>
    <row r="145" spans="1:18">
      <c r="A145" s="1705"/>
      <c r="B145" s="1705"/>
      <c r="C145" s="1717"/>
      <c r="D145" s="1717"/>
      <c r="E145" s="1705"/>
      <c r="F145" s="1705"/>
      <c r="G145" s="1705"/>
      <c r="H145" s="1705"/>
      <c r="I145" s="1705"/>
      <c r="J145" s="1705"/>
      <c r="K145" s="1705"/>
      <c r="L145" s="1705"/>
      <c r="M145" s="1705"/>
      <c r="N145" s="1705"/>
      <c r="O145" s="1705"/>
      <c r="P145" s="1705"/>
      <c r="Q145" s="1717"/>
      <c r="R145" s="1717"/>
    </row>
    <row r="146" spans="1:18">
      <c r="A146" s="1705"/>
      <c r="B146" s="1705"/>
      <c r="C146" s="1717"/>
      <c r="D146" s="1717"/>
      <c r="E146" s="1705"/>
      <c r="F146" s="1705"/>
      <c r="G146" s="1705"/>
      <c r="H146" s="1705"/>
      <c r="I146" s="1705"/>
      <c r="J146" s="1705"/>
      <c r="K146" s="1705"/>
      <c r="L146" s="1705"/>
      <c r="M146" s="1705"/>
      <c r="N146" s="1705"/>
      <c r="O146" s="1705"/>
      <c r="P146" s="1705"/>
      <c r="Q146" s="1717"/>
      <c r="R146" s="1717"/>
    </row>
    <row r="147" spans="1:18">
      <c r="A147" s="1705"/>
      <c r="B147" s="1705"/>
      <c r="C147" s="1717"/>
      <c r="D147" s="1717"/>
      <c r="E147" s="1705"/>
      <c r="F147" s="1705"/>
      <c r="G147" s="1705"/>
      <c r="H147" s="1705"/>
      <c r="I147" s="1705"/>
      <c r="J147" s="1705"/>
      <c r="K147" s="1705"/>
      <c r="L147" s="1705"/>
      <c r="M147" s="1705"/>
      <c r="N147" s="1705"/>
      <c r="O147" s="1705"/>
      <c r="P147" s="1705"/>
      <c r="Q147" s="1717"/>
      <c r="R147" s="1717"/>
    </row>
    <row r="148" spans="1:18">
      <c r="A148" s="1705"/>
      <c r="B148" s="1705"/>
      <c r="C148" s="1717"/>
      <c r="D148" s="1717"/>
      <c r="E148" s="1705"/>
      <c r="F148" s="1705"/>
      <c r="G148" s="1705"/>
      <c r="H148" s="1705"/>
      <c r="I148" s="1705"/>
      <c r="J148" s="1705"/>
      <c r="K148" s="1705"/>
      <c r="L148" s="1705"/>
      <c r="M148" s="1705"/>
      <c r="N148" s="1705"/>
      <c r="O148" s="1705"/>
      <c r="P148" s="1705"/>
      <c r="Q148" s="1717"/>
      <c r="R148" s="1717"/>
    </row>
    <row r="149" spans="1:18">
      <c r="A149" s="1705"/>
      <c r="B149" s="1705"/>
      <c r="C149" s="1717"/>
      <c r="D149" s="1717"/>
      <c r="E149" s="1705"/>
      <c r="F149" s="1705"/>
      <c r="G149" s="1705"/>
      <c r="H149" s="1705"/>
      <c r="I149" s="1705"/>
      <c r="J149" s="1705"/>
      <c r="K149" s="1705"/>
      <c r="L149" s="1705"/>
      <c r="M149" s="1705"/>
      <c r="N149" s="1705"/>
      <c r="O149" s="1705"/>
      <c r="P149" s="1705"/>
      <c r="Q149" s="1717"/>
      <c r="R149" s="1717"/>
    </row>
    <row r="150" spans="1:18">
      <c r="A150" s="1705"/>
      <c r="B150" s="1705"/>
      <c r="C150" s="1717"/>
      <c r="D150" s="1717"/>
      <c r="E150" s="1705"/>
      <c r="F150" s="1705"/>
      <c r="G150" s="1705"/>
      <c r="H150" s="1705"/>
      <c r="I150" s="1705"/>
      <c r="J150" s="1705"/>
      <c r="K150" s="1705"/>
      <c r="L150" s="1705"/>
      <c r="M150" s="1705"/>
      <c r="N150" s="1705"/>
      <c r="O150" s="1705"/>
      <c r="P150" s="1705"/>
      <c r="Q150" s="1717"/>
      <c r="R150" s="1717"/>
    </row>
    <row r="151" spans="1:18">
      <c r="A151" s="1705"/>
      <c r="B151" s="1705"/>
      <c r="C151" s="1717"/>
      <c r="D151" s="1717"/>
      <c r="E151" s="1705"/>
      <c r="F151" s="1705"/>
      <c r="G151" s="1705"/>
      <c r="H151" s="1705"/>
      <c r="I151" s="1705"/>
      <c r="J151" s="1705"/>
      <c r="K151" s="1705"/>
      <c r="L151" s="1705"/>
      <c r="M151" s="1705"/>
      <c r="N151" s="1705"/>
      <c r="O151" s="1705"/>
      <c r="P151" s="1705"/>
      <c r="Q151" s="1717"/>
      <c r="R151" s="1717"/>
    </row>
    <row r="152" spans="1:18">
      <c r="A152" s="1705"/>
      <c r="B152" s="1705"/>
      <c r="C152" s="1717"/>
      <c r="D152" s="1717"/>
      <c r="E152" s="1705"/>
      <c r="F152" s="1705"/>
      <c r="G152" s="1705"/>
      <c r="H152" s="1705"/>
      <c r="I152" s="1705"/>
      <c r="J152" s="1705"/>
      <c r="K152" s="1705"/>
      <c r="L152" s="1705"/>
      <c r="M152" s="1705"/>
      <c r="N152" s="1705"/>
      <c r="O152" s="1705"/>
      <c r="P152" s="1705"/>
      <c r="Q152" s="1717"/>
      <c r="R152" s="1717"/>
    </row>
    <row r="153" spans="1:18">
      <c r="A153" s="1705"/>
      <c r="B153" s="1705"/>
      <c r="C153" s="1717"/>
      <c r="D153" s="1717"/>
      <c r="E153" s="1705"/>
      <c r="F153" s="1705"/>
      <c r="G153" s="1705"/>
      <c r="H153" s="1705"/>
      <c r="I153" s="1705"/>
      <c r="J153" s="1705"/>
      <c r="K153" s="1705"/>
      <c r="L153" s="1705"/>
      <c r="M153" s="1705"/>
      <c r="N153" s="1705"/>
      <c r="O153" s="1705"/>
      <c r="P153" s="1705"/>
      <c r="Q153" s="1717"/>
      <c r="R153" s="1717"/>
    </row>
    <row r="154" spans="1:18">
      <c r="A154" s="1705"/>
      <c r="B154" s="1705"/>
      <c r="C154" s="1717"/>
      <c r="D154" s="1717"/>
      <c r="E154" s="1705"/>
      <c r="F154" s="1705"/>
      <c r="G154" s="1705"/>
      <c r="H154" s="1705"/>
      <c r="I154" s="1705"/>
      <c r="J154" s="1705"/>
      <c r="K154" s="1705"/>
      <c r="L154" s="1705"/>
      <c r="M154" s="1705"/>
      <c r="N154" s="1705"/>
      <c r="O154" s="1705"/>
      <c r="P154" s="1705"/>
      <c r="Q154" s="1717"/>
      <c r="R154" s="1717"/>
    </row>
    <row r="155" spans="1:18">
      <c r="A155" s="1705"/>
      <c r="B155" s="1705"/>
      <c r="C155" s="1717"/>
      <c r="D155" s="1717"/>
      <c r="E155" s="1705"/>
      <c r="F155" s="1705"/>
      <c r="G155" s="1705"/>
      <c r="H155" s="1705"/>
      <c r="I155" s="1705"/>
      <c r="J155" s="1705"/>
      <c r="K155" s="1705"/>
      <c r="L155" s="1705"/>
      <c r="M155" s="1705"/>
      <c r="N155" s="1705"/>
      <c r="O155" s="1705"/>
      <c r="P155" s="1705"/>
      <c r="Q155" s="1717"/>
      <c r="R155" s="1717"/>
    </row>
    <row r="156" spans="1:18">
      <c r="A156" s="1705"/>
      <c r="B156" s="1705"/>
      <c r="C156" s="1717"/>
      <c r="D156" s="1717"/>
      <c r="E156" s="1705"/>
      <c r="F156" s="1705"/>
      <c r="G156" s="1705"/>
      <c r="H156" s="1705"/>
      <c r="I156" s="1705"/>
      <c r="J156" s="1705"/>
      <c r="K156" s="1705"/>
      <c r="L156" s="1705"/>
      <c r="M156" s="1705"/>
      <c r="N156" s="1705"/>
      <c r="O156" s="1705"/>
      <c r="P156" s="1705"/>
      <c r="Q156" s="1717"/>
      <c r="R156" s="1717"/>
    </row>
    <row r="157" spans="1:18">
      <c r="A157" s="1705"/>
      <c r="B157" s="1705"/>
      <c r="C157" s="1717"/>
      <c r="D157" s="1717"/>
      <c r="E157" s="1705"/>
      <c r="F157" s="1705"/>
      <c r="G157" s="1705"/>
      <c r="H157" s="1705"/>
      <c r="I157" s="1705"/>
      <c r="J157" s="1705"/>
      <c r="K157" s="1705"/>
      <c r="L157" s="1705"/>
      <c r="M157" s="1705"/>
      <c r="N157" s="1705"/>
      <c r="O157" s="1705"/>
      <c r="P157" s="1705"/>
      <c r="Q157" s="1717"/>
      <c r="R157" s="1717"/>
    </row>
    <row r="158" spans="1:18">
      <c r="A158" s="1705"/>
      <c r="B158" s="1705"/>
      <c r="C158" s="1717"/>
      <c r="D158" s="1717"/>
      <c r="E158" s="1705"/>
      <c r="F158" s="1705"/>
      <c r="G158" s="1705"/>
      <c r="H158" s="1705"/>
      <c r="I158" s="1705"/>
      <c r="J158" s="1705"/>
      <c r="K158" s="1705"/>
      <c r="L158" s="1705"/>
      <c r="M158" s="1705"/>
      <c r="N158" s="1705"/>
      <c r="O158" s="1705"/>
      <c r="P158" s="1705"/>
      <c r="Q158" s="1717"/>
      <c r="R158" s="1717"/>
    </row>
    <row r="159" spans="1:18">
      <c r="A159" s="1705"/>
      <c r="B159" s="1705"/>
      <c r="C159" s="1717"/>
      <c r="D159" s="1717"/>
      <c r="E159" s="1705"/>
      <c r="F159" s="1705"/>
      <c r="G159" s="1705"/>
      <c r="H159" s="1705"/>
      <c r="I159" s="1705"/>
      <c r="J159" s="1705"/>
      <c r="K159" s="1705"/>
      <c r="L159" s="1705"/>
      <c r="M159" s="1705"/>
      <c r="N159" s="1705"/>
      <c r="O159" s="1705"/>
      <c r="P159" s="1705"/>
      <c r="Q159" s="1717"/>
      <c r="R159" s="1717"/>
    </row>
    <row r="160" spans="1:18">
      <c r="A160" s="1705"/>
      <c r="B160" s="1705"/>
      <c r="C160" s="1717"/>
      <c r="D160" s="1717"/>
      <c r="E160" s="1705"/>
      <c r="F160" s="1705"/>
      <c r="G160" s="1705"/>
      <c r="H160" s="1705"/>
      <c r="I160" s="1705"/>
      <c r="J160" s="1705"/>
      <c r="K160" s="1705"/>
      <c r="L160" s="1705"/>
      <c r="M160" s="1705"/>
      <c r="N160" s="1705"/>
      <c r="O160" s="1705"/>
      <c r="P160" s="1705"/>
      <c r="Q160" s="1717"/>
      <c r="R160" s="1717"/>
    </row>
    <row r="161" spans="1:18">
      <c r="A161" s="1705"/>
      <c r="B161" s="1705"/>
      <c r="C161" s="1717"/>
      <c r="D161" s="1717"/>
      <c r="E161" s="1705"/>
      <c r="F161" s="1705"/>
      <c r="G161" s="1705"/>
      <c r="H161" s="1705"/>
      <c r="I161" s="1705"/>
      <c r="J161" s="1705"/>
      <c r="K161" s="1705"/>
      <c r="L161" s="1705"/>
      <c r="M161" s="1705"/>
      <c r="N161" s="1705"/>
      <c r="O161" s="1705"/>
      <c r="P161" s="1705"/>
      <c r="Q161" s="1717"/>
      <c r="R161" s="1717"/>
    </row>
  </sheetData>
  <mergeCells count="13">
    <mergeCell ref="M7:M8"/>
    <mergeCell ref="N7:N8"/>
    <mergeCell ref="O7:O8"/>
    <mergeCell ref="A2:D2"/>
    <mergeCell ref="A5:R5"/>
    <mergeCell ref="E7:E8"/>
    <mergeCell ref="F7:F8"/>
    <mergeCell ref="G7:G8"/>
    <mergeCell ref="H7:H8"/>
    <mergeCell ref="I7:I8"/>
    <mergeCell ref="J7:J8"/>
    <mergeCell ref="K7:K8"/>
    <mergeCell ref="L7:L8"/>
  </mergeCells>
  <pageMargins left="0.7" right="0.7" top="0.75" bottom="0.75" header="0.3" footer="0.3"/>
  <drawing r:id="rId1"/>
  <legacy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tabColor theme="0" tint="-0.34998626667073579"/>
    <pageSetUpPr fitToPage="1"/>
  </sheetPr>
  <dimension ref="A1:H14"/>
  <sheetViews>
    <sheetView showGridLines="0" workbookViewId="0">
      <selection activeCell="K39" sqref="K39"/>
    </sheetView>
  </sheetViews>
  <sheetFormatPr baseColWidth="10" defaultColWidth="11.46484375" defaultRowHeight="13.15"/>
  <cols>
    <col min="1" max="1" width="11.46484375" style="1"/>
    <col min="2" max="2" width="29.796875" style="1" customWidth="1"/>
    <col min="3" max="4" width="11.46484375" style="1"/>
    <col min="5" max="5" width="12.53125" style="1" customWidth="1"/>
    <col min="6" max="16384" width="11.46484375" style="1"/>
  </cols>
  <sheetData>
    <row r="1" spans="1:8" ht="14.25">
      <c r="A1" t="s">
        <v>377</v>
      </c>
      <c r="H1" s="56" t="s">
        <v>417</v>
      </c>
    </row>
    <row r="3" spans="1:8" ht="15" customHeight="1">
      <c r="B3" s="38"/>
      <c r="C3" s="2317" t="s">
        <v>141</v>
      </c>
      <c r="D3" s="2316"/>
      <c r="E3" s="2387"/>
      <c r="F3" s="2317" t="s">
        <v>199</v>
      </c>
      <c r="G3" s="2316"/>
      <c r="H3" s="2387"/>
    </row>
    <row r="4" spans="1:8" ht="15" customHeight="1">
      <c r="B4" s="49"/>
      <c r="C4" s="2398">
        <f>+Datos!D8</f>
        <v>45657</v>
      </c>
      <c r="D4" s="2399"/>
      <c r="E4" s="2400"/>
      <c r="F4" s="2398">
        <f>+Datos!E8</f>
        <v>45291</v>
      </c>
      <c r="G4" s="2399"/>
      <c r="H4" s="2400"/>
    </row>
    <row r="5" spans="1:8">
      <c r="B5" s="44" t="s">
        <v>183</v>
      </c>
      <c r="C5" s="44" t="s">
        <v>378</v>
      </c>
      <c r="D5" s="27" t="s">
        <v>379</v>
      </c>
      <c r="E5" s="258" t="s">
        <v>189</v>
      </c>
      <c r="F5" s="44" t="s">
        <v>378</v>
      </c>
      <c r="G5" s="27" t="s">
        <v>379</v>
      </c>
      <c r="H5" s="258" t="s">
        <v>189</v>
      </c>
    </row>
    <row r="6" spans="1:8">
      <c r="B6" s="39"/>
      <c r="C6" s="39" t="s">
        <v>20</v>
      </c>
      <c r="D6" s="5" t="s">
        <v>20</v>
      </c>
      <c r="E6" s="6" t="s">
        <v>20</v>
      </c>
      <c r="F6" s="39" t="s">
        <v>20</v>
      </c>
      <c r="G6" s="5" t="s">
        <v>20</v>
      </c>
      <c r="H6" s="6" t="s">
        <v>20</v>
      </c>
    </row>
    <row r="7" spans="1:8">
      <c r="B7" s="1" t="s">
        <v>151</v>
      </c>
      <c r="C7" s="9"/>
      <c r="E7" s="13">
        <f>+SUM(C7:D7)</f>
        <v>0</v>
      </c>
      <c r="F7" s="9"/>
      <c r="H7" s="13">
        <f>+SUM(F7:G7)</f>
        <v>0</v>
      </c>
    </row>
    <row r="8" spans="1:8">
      <c r="B8" s="1" t="s">
        <v>152</v>
      </c>
      <c r="C8" s="9"/>
      <c r="E8" s="13">
        <f t="shared" ref="E8:E11" si="0">+SUM(C8:D8)</f>
        <v>0</v>
      </c>
      <c r="F8" s="9"/>
      <c r="H8" s="13">
        <f t="shared" ref="H8:H11" si="1">+SUM(F8:G8)</f>
        <v>0</v>
      </c>
    </row>
    <row r="9" spans="1:8">
      <c r="B9" s="1" t="s">
        <v>358</v>
      </c>
      <c r="C9" s="9"/>
      <c r="E9" s="13">
        <f t="shared" si="0"/>
        <v>0</v>
      </c>
      <c r="F9" s="9"/>
      <c r="H9" s="13">
        <f t="shared" si="1"/>
        <v>0</v>
      </c>
    </row>
    <row r="10" spans="1:8">
      <c r="B10" s="1" t="s">
        <v>362</v>
      </c>
      <c r="C10" s="9"/>
      <c r="E10" s="13">
        <f t="shared" si="0"/>
        <v>0</v>
      </c>
      <c r="F10" s="9"/>
      <c r="H10" s="13">
        <f t="shared" si="1"/>
        <v>0</v>
      </c>
    </row>
    <row r="11" spans="1:8">
      <c r="C11" s="9"/>
      <c r="E11" s="13">
        <f t="shared" si="0"/>
        <v>0</v>
      </c>
      <c r="F11" s="9"/>
      <c r="H11" s="13">
        <f t="shared" si="1"/>
        <v>0</v>
      </c>
    </row>
    <row r="12" spans="1:8">
      <c r="B12" s="7" t="s">
        <v>189</v>
      </c>
      <c r="C12" s="7">
        <f>+SUM(C7:C11)</f>
        <v>0</v>
      </c>
      <c r="D12" s="8">
        <f t="shared" ref="D12:E12" si="2">+SUM(D7:D11)</f>
        <v>0</v>
      </c>
      <c r="E12" s="14">
        <f t="shared" si="2"/>
        <v>0</v>
      </c>
      <c r="F12" s="7">
        <f>+SUM(F7:F11)</f>
        <v>0</v>
      </c>
      <c r="G12" s="8">
        <f t="shared" ref="G12" si="3">+SUM(G7:G11)</f>
        <v>0</v>
      </c>
      <c r="H12" s="14">
        <f t="shared" ref="H12" si="4">+SUM(H7:H11)</f>
        <v>0</v>
      </c>
    </row>
    <row r="14" spans="1:8">
      <c r="B14" s="41" t="s">
        <v>201</v>
      </c>
      <c r="C14" s="15"/>
      <c r="D14" s="15"/>
      <c r="E14" s="15" t="e">
        <f>+E12-#REF!</f>
        <v>#REF!</v>
      </c>
      <c r="F14" s="15"/>
      <c r="G14" s="15"/>
      <c r="H14" s="15" t="e">
        <f>+H12-#REF!</f>
        <v>#REF!</v>
      </c>
    </row>
  </sheetData>
  <sheetProtection password="DF8B" sheet="1" objects="1" scenarios="1"/>
  <mergeCells count="4">
    <mergeCell ref="C3:E3"/>
    <mergeCell ref="C4:E4"/>
    <mergeCell ref="F3:H3"/>
    <mergeCell ref="F4:H4"/>
  </mergeCells>
  <hyperlinks>
    <hyperlink ref="H1" location="EºRº!A1" display="Volver" xr:uid="{00000000-0004-0000-2F00-000000000000}"/>
  </hyperlinks>
  <pageMargins left="0.70866141732283472" right="0.70866141732283472" top="0.74803149606299213" bottom="0.74803149606299213" header="0.31496062992125984" footer="0.31496062992125984"/>
  <pageSetup scale="81"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tabColor theme="0" tint="-0.34998626667073579"/>
    <pageSetUpPr fitToPage="1"/>
  </sheetPr>
  <dimension ref="A1:H17"/>
  <sheetViews>
    <sheetView showGridLines="0" workbookViewId="0">
      <selection activeCell="B10" sqref="B10:B14"/>
    </sheetView>
  </sheetViews>
  <sheetFormatPr baseColWidth="10" defaultColWidth="11.46484375" defaultRowHeight="13.15"/>
  <cols>
    <col min="1" max="1" width="11.46484375" style="1"/>
    <col min="2" max="2" width="39.796875" style="1" customWidth="1"/>
    <col min="3" max="16384" width="11.46484375" style="1"/>
  </cols>
  <sheetData>
    <row r="1" spans="1:8" ht="14.25">
      <c r="A1" s="1" t="s">
        <v>380</v>
      </c>
      <c r="H1" s="56" t="s">
        <v>417</v>
      </c>
    </row>
    <row r="5" spans="1:8">
      <c r="B5" s="38"/>
      <c r="C5" s="2317" t="s">
        <v>141</v>
      </c>
      <c r="D5" s="2316"/>
      <c r="E5" s="2387"/>
      <c r="F5" s="2317" t="s">
        <v>199</v>
      </c>
      <c r="G5" s="2316"/>
      <c r="H5" s="2387"/>
    </row>
    <row r="6" spans="1:8">
      <c r="B6" s="49"/>
      <c r="C6" s="2398">
        <f>+Datos!D8</f>
        <v>45657</v>
      </c>
      <c r="D6" s="2399"/>
      <c r="E6" s="2400"/>
      <c r="F6" s="2398">
        <f>+Datos!E8</f>
        <v>45291</v>
      </c>
      <c r="G6" s="2399"/>
      <c r="H6" s="2400"/>
    </row>
    <row r="7" spans="1:8">
      <c r="B7" s="44" t="s">
        <v>183</v>
      </c>
      <c r="C7" s="44" t="s">
        <v>378</v>
      </c>
      <c r="D7" s="27" t="s">
        <v>381</v>
      </c>
      <c r="E7" s="258" t="s">
        <v>382</v>
      </c>
      <c r="F7" s="44" t="s">
        <v>378</v>
      </c>
      <c r="G7" s="27" t="s">
        <v>381</v>
      </c>
      <c r="H7" s="258" t="s">
        <v>382</v>
      </c>
    </row>
    <row r="8" spans="1:8">
      <c r="B8" s="4"/>
      <c r="C8" s="39" t="s">
        <v>20</v>
      </c>
      <c r="D8" s="5" t="s">
        <v>20</v>
      </c>
      <c r="E8" s="6" t="s">
        <v>20</v>
      </c>
      <c r="F8" s="39" t="s">
        <v>20</v>
      </c>
      <c r="G8" s="5" t="s">
        <v>20</v>
      </c>
      <c r="H8" s="6" t="s">
        <v>20</v>
      </c>
    </row>
    <row r="9" spans="1:8">
      <c r="C9" s="9"/>
      <c r="E9" s="13">
        <f>+SUM(C9:D9)</f>
        <v>0</v>
      </c>
      <c r="F9" s="9"/>
      <c r="H9" s="13">
        <f>+SUM(F9:G9)</f>
        <v>0</v>
      </c>
    </row>
    <row r="10" spans="1:8">
      <c r="B10" s="1" t="s">
        <v>336</v>
      </c>
      <c r="C10" s="9"/>
      <c r="E10" s="13">
        <f t="shared" ref="E10:E14" si="0">+SUM(C10:D10)</f>
        <v>0</v>
      </c>
      <c r="F10" s="9"/>
      <c r="H10" s="13">
        <f t="shared" ref="H10:H14" si="1">+SUM(F10:G10)</f>
        <v>0</v>
      </c>
    </row>
    <row r="11" spans="1:8">
      <c r="B11" s="1" t="s">
        <v>337</v>
      </c>
      <c r="C11" s="9"/>
      <c r="E11" s="13">
        <f t="shared" si="0"/>
        <v>0</v>
      </c>
      <c r="F11" s="9"/>
      <c r="H11" s="13">
        <f t="shared" si="1"/>
        <v>0</v>
      </c>
    </row>
    <row r="12" spans="1:8">
      <c r="B12" s="1" t="s">
        <v>338</v>
      </c>
      <c r="C12" s="9"/>
      <c r="E12" s="13">
        <f t="shared" si="0"/>
        <v>0</v>
      </c>
      <c r="F12" s="9"/>
      <c r="H12" s="13">
        <f t="shared" si="1"/>
        <v>0</v>
      </c>
    </row>
    <row r="13" spans="1:8">
      <c r="B13" s="1" t="s">
        <v>339</v>
      </c>
      <c r="C13" s="9"/>
      <c r="E13" s="13">
        <f t="shared" si="0"/>
        <v>0</v>
      </c>
      <c r="F13" s="9"/>
      <c r="H13" s="13">
        <f t="shared" si="1"/>
        <v>0</v>
      </c>
    </row>
    <row r="14" spans="1:8">
      <c r="B14" s="1" t="s">
        <v>375</v>
      </c>
      <c r="C14" s="9"/>
      <c r="E14" s="13">
        <f t="shared" si="0"/>
        <v>0</v>
      </c>
      <c r="F14" s="9"/>
      <c r="H14" s="13">
        <f t="shared" si="1"/>
        <v>0</v>
      </c>
    </row>
    <row r="15" spans="1:8">
      <c r="B15" s="7" t="s">
        <v>189</v>
      </c>
      <c r="C15" s="7">
        <f>+SUM(C9:C14)</f>
        <v>0</v>
      </c>
      <c r="D15" s="8">
        <f t="shared" ref="D15:H15" si="2">+SUM(D9:D14)</f>
        <v>0</v>
      </c>
      <c r="E15" s="14">
        <f t="shared" si="2"/>
        <v>0</v>
      </c>
      <c r="F15" s="7">
        <f t="shared" si="2"/>
        <v>0</v>
      </c>
      <c r="G15" s="8">
        <f t="shared" si="2"/>
        <v>0</v>
      </c>
      <c r="H15" s="14">
        <f t="shared" si="2"/>
        <v>0</v>
      </c>
    </row>
    <row r="17" spans="2:8">
      <c r="B17" s="41" t="s">
        <v>201</v>
      </c>
      <c r="C17" s="15"/>
      <c r="D17" s="15"/>
      <c r="E17" s="15" t="e">
        <f>+E15-#REF!</f>
        <v>#REF!</v>
      </c>
      <c r="F17" s="15"/>
      <c r="G17" s="15"/>
      <c r="H17" s="17" t="e">
        <f>+H15-#REF!</f>
        <v>#REF!</v>
      </c>
    </row>
  </sheetData>
  <sheetProtection password="DF8B" sheet="1" objects="1" scenarios="1"/>
  <mergeCells count="4">
    <mergeCell ref="C5:E5"/>
    <mergeCell ref="F5:H5"/>
    <mergeCell ref="C6:E6"/>
    <mergeCell ref="F6:H6"/>
  </mergeCells>
  <hyperlinks>
    <hyperlink ref="H1" location="EºRº!A1" display="Volver" xr:uid="{00000000-0004-0000-3000-000000000000}"/>
  </hyperlinks>
  <pageMargins left="0.70866141732283472" right="0.70866141732283472" top="0.74803149606299213" bottom="0.74803149606299213" header="0.31496062992125984" footer="0.31496062992125984"/>
  <pageSetup scale="75"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8">
    <tabColor theme="0" tint="-0.34998626667073579"/>
  </sheetPr>
  <dimension ref="A1:E54"/>
  <sheetViews>
    <sheetView showGridLines="0" workbookViewId="0">
      <selection activeCell="K65" sqref="K65"/>
    </sheetView>
  </sheetViews>
  <sheetFormatPr baseColWidth="10" defaultColWidth="11.46484375" defaultRowHeight="11.65"/>
  <cols>
    <col min="1" max="1" width="11.46484375" style="28"/>
    <col min="2" max="2" width="31.19921875" style="28" customWidth="1"/>
    <col min="3" max="4" width="14.796875" style="28" customWidth="1"/>
    <col min="5" max="16384" width="11.46484375" style="28"/>
  </cols>
  <sheetData>
    <row r="1" spans="1:5" ht="14.25" customHeight="1">
      <c r="A1" s="28" t="s">
        <v>383</v>
      </c>
      <c r="E1" s="56" t="s">
        <v>417</v>
      </c>
    </row>
    <row r="3" spans="1:5">
      <c r="A3" s="28" t="s">
        <v>385</v>
      </c>
    </row>
    <row r="4" spans="1:5" ht="15" customHeight="1">
      <c r="B4" s="2401" t="s">
        <v>384</v>
      </c>
      <c r="C4" s="125" t="s">
        <v>243</v>
      </c>
      <c r="D4" s="126" t="s">
        <v>244</v>
      </c>
    </row>
    <row r="5" spans="1:5" ht="13.15">
      <c r="B5" s="2402"/>
      <c r="C5" s="127">
        <f>+Datos!D8</f>
        <v>45657</v>
      </c>
      <c r="D5" s="128">
        <f>+Datos!E8</f>
        <v>45291</v>
      </c>
    </row>
    <row r="6" spans="1:5" ht="13.15">
      <c r="B6" s="2403"/>
      <c r="C6" s="5" t="s">
        <v>20</v>
      </c>
      <c r="D6" s="6" t="s">
        <v>20</v>
      </c>
    </row>
    <row r="7" spans="1:5">
      <c r="B7" s="259" t="s">
        <v>156</v>
      </c>
    </row>
    <row r="8" spans="1:5">
      <c r="B8" s="260" t="s">
        <v>536</v>
      </c>
    </row>
    <row r="9" spans="1:5">
      <c r="B9" s="260" t="s">
        <v>537</v>
      </c>
    </row>
    <row r="10" spans="1:5">
      <c r="B10" s="260" t="s">
        <v>538</v>
      </c>
    </row>
    <row r="11" spans="1:5">
      <c r="B11" s="260" t="s">
        <v>375</v>
      </c>
    </row>
    <row r="12" spans="1:5">
      <c r="B12" s="261" t="s">
        <v>204</v>
      </c>
      <c r="C12" s="262">
        <f>+SUM(C7:C11)</f>
        <v>0</v>
      </c>
      <c r="D12" s="262">
        <f>+SUM(D7:D11)</f>
        <v>0</v>
      </c>
    </row>
    <row r="13" spans="1:5">
      <c r="B13" s="259" t="s">
        <v>157</v>
      </c>
    </row>
    <row r="14" spans="1:5">
      <c r="B14" s="260" t="s">
        <v>532</v>
      </c>
    </row>
    <row r="15" spans="1:5">
      <c r="B15" s="260" t="s">
        <v>533</v>
      </c>
    </row>
    <row r="16" spans="1:5">
      <c r="B16" s="260" t="s">
        <v>534</v>
      </c>
    </row>
    <row r="17" spans="1:4">
      <c r="B17" s="260" t="s">
        <v>535</v>
      </c>
    </row>
    <row r="18" spans="1:4">
      <c r="B18" s="260" t="s">
        <v>375</v>
      </c>
    </row>
    <row r="20" spans="1:4">
      <c r="B20" s="261" t="s">
        <v>204</v>
      </c>
      <c r="C20" s="262">
        <f>+SUM(C17:C19)</f>
        <v>0</v>
      </c>
      <c r="D20" s="262">
        <f>+SUM(D17:D19)</f>
        <v>0</v>
      </c>
    </row>
    <row r="21" spans="1:4">
      <c r="B21" s="35" t="s">
        <v>109</v>
      </c>
      <c r="C21" s="237">
        <f>+C12+C20</f>
        <v>0</v>
      </c>
      <c r="D21" s="237">
        <f>+D12+D20</f>
        <v>0</v>
      </c>
    </row>
    <row r="23" spans="1:4">
      <c r="B23" s="41" t="s">
        <v>201</v>
      </c>
      <c r="C23" s="240" t="e">
        <f>+C21-#REF!</f>
        <v>#REF!</v>
      </c>
      <c r="D23" s="240" t="e">
        <f>+D21-#REF!</f>
        <v>#REF!</v>
      </c>
    </row>
    <row r="25" spans="1:4">
      <c r="A25" s="28" t="s">
        <v>386</v>
      </c>
    </row>
    <row r="27" spans="1:4" ht="13.15">
      <c r="B27" s="2401" t="s">
        <v>384</v>
      </c>
      <c r="C27" s="125" t="s">
        <v>243</v>
      </c>
      <c r="D27" s="126" t="s">
        <v>244</v>
      </c>
    </row>
    <row r="28" spans="1:4" ht="13.15">
      <c r="B28" s="2402"/>
      <c r="C28" s="127">
        <f>+Datos!D6</f>
        <v>45657</v>
      </c>
      <c r="D28" s="128">
        <f>+Datos!E8</f>
        <v>45291</v>
      </c>
    </row>
    <row r="29" spans="1:4" ht="13.15">
      <c r="B29" s="2403"/>
      <c r="C29" s="5" t="s">
        <v>20</v>
      </c>
      <c r="D29" s="6" t="s">
        <v>20</v>
      </c>
    </row>
    <row r="30" spans="1:4">
      <c r="B30" s="259" t="s">
        <v>156</v>
      </c>
    </row>
    <row r="31" spans="1:4">
      <c r="B31" s="28" t="s">
        <v>539</v>
      </c>
    </row>
    <row r="32" spans="1:4">
      <c r="B32" s="28" t="s">
        <v>540</v>
      </c>
    </row>
    <row r="33" spans="2:4">
      <c r="B33" s="28" t="s">
        <v>541</v>
      </c>
    </row>
    <row r="34" spans="2:4">
      <c r="B34" s="28" t="s">
        <v>542</v>
      </c>
    </row>
    <row r="35" spans="2:4">
      <c r="B35" s="28" t="s">
        <v>543</v>
      </c>
    </row>
    <row r="36" spans="2:4">
      <c r="B36" s="28" t="s">
        <v>536</v>
      </c>
    </row>
    <row r="37" spans="2:4">
      <c r="B37" s="28" t="s">
        <v>114</v>
      </c>
    </row>
    <row r="38" spans="2:4">
      <c r="B38" s="28" t="s">
        <v>537</v>
      </c>
    </row>
    <row r="39" spans="2:4">
      <c r="B39" s="260" t="s">
        <v>375</v>
      </c>
    </row>
    <row r="40" spans="2:4">
      <c r="B40" s="261" t="s">
        <v>204</v>
      </c>
      <c r="C40" s="262">
        <f>+SUM(C30:C39)</f>
        <v>0</v>
      </c>
      <c r="D40" s="262">
        <f>+SUM(D30:D39)</f>
        <v>0</v>
      </c>
    </row>
    <row r="41" spans="2:4">
      <c r="B41" s="259" t="s">
        <v>157</v>
      </c>
    </row>
    <row r="42" spans="2:4">
      <c r="B42" s="28" t="s">
        <v>544</v>
      </c>
    </row>
    <row r="43" spans="2:4">
      <c r="B43" s="28" t="s">
        <v>543</v>
      </c>
    </row>
    <row r="44" spans="2:4">
      <c r="B44" s="28" t="s">
        <v>545</v>
      </c>
    </row>
    <row r="45" spans="2:4">
      <c r="B45" s="28" t="s">
        <v>532</v>
      </c>
    </row>
    <row r="46" spans="2:4">
      <c r="B46" s="28" t="s">
        <v>546</v>
      </c>
    </row>
    <row r="47" spans="2:4">
      <c r="B47" s="28" t="s">
        <v>533</v>
      </c>
    </row>
    <row r="48" spans="2:4">
      <c r="B48" s="28" t="s">
        <v>535</v>
      </c>
    </row>
    <row r="49" spans="2:4">
      <c r="B49" s="28" t="s">
        <v>534</v>
      </c>
    </row>
    <row r="50" spans="2:4">
      <c r="B50" s="260" t="s">
        <v>375</v>
      </c>
    </row>
    <row r="51" spans="2:4">
      <c r="B51" s="261" t="s">
        <v>204</v>
      </c>
      <c r="C51" s="262">
        <f>+SUM(C41:C50)</f>
        <v>0</v>
      </c>
      <c r="D51" s="262">
        <f t="shared" ref="D51" si="0">+SUM(D41:D50)</f>
        <v>0</v>
      </c>
    </row>
    <row r="52" spans="2:4">
      <c r="B52" s="35" t="s">
        <v>109</v>
      </c>
      <c r="C52" s="237">
        <f>+C40+C51</f>
        <v>0</v>
      </c>
      <c r="D52" s="237">
        <f>+D40+D51</f>
        <v>0</v>
      </c>
    </row>
    <row r="54" spans="2:4">
      <c r="B54" s="41" t="s">
        <v>201</v>
      </c>
      <c r="C54" s="240" t="e">
        <f>+C52-#REF!</f>
        <v>#REF!</v>
      </c>
      <c r="D54" s="240" t="e">
        <f>+D52-#REF!</f>
        <v>#REF!</v>
      </c>
    </row>
  </sheetData>
  <sheetProtection password="DF8B" sheet="1" objects="1" scenarios="1"/>
  <mergeCells count="2">
    <mergeCell ref="B4:B6"/>
    <mergeCell ref="B27:B29"/>
  </mergeCells>
  <hyperlinks>
    <hyperlink ref="E1" location="EºRº!A1" display="Volver" xr:uid="{00000000-0004-0000-3100-000000000000}"/>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9">
    <tabColor theme="0" tint="-0.34998626667073579"/>
  </sheetPr>
  <dimension ref="A1:F35"/>
  <sheetViews>
    <sheetView showGridLines="0" workbookViewId="0">
      <selection activeCell="K38" sqref="K38"/>
    </sheetView>
  </sheetViews>
  <sheetFormatPr baseColWidth="10" defaultColWidth="11.46484375" defaultRowHeight="13.15"/>
  <cols>
    <col min="1" max="1" width="11.46484375" style="1"/>
    <col min="2" max="2" width="32.796875" style="1" customWidth="1"/>
    <col min="3" max="6" width="13" style="1" customWidth="1"/>
    <col min="7" max="16384" width="11.46484375" style="1"/>
  </cols>
  <sheetData>
    <row r="1" spans="1:6" ht="14.25">
      <c r="A1" t="s">
        <v>387</v>
      </c>
      <c r="F1" s="56" t="s">
        <v>417</v>
      </c>
    </row>
    <row r="4" spans="1:6">
      <c r="A4" s="1" t="s">
        <v>385</v>
      </c>
    </row>
    <row r="6" spans="1:6">
      <c r="B6" s="244"/>
      <c r="C6" s="2316" t="s">
        <v>243</v>
      </c>
      <c r="D6" s="2316"/>
      <c r="E6" s="2316" t="s">
        <v>244</v>
      </c>
      <c r="F6" s="2387"/>
    </row>
    <row r="7" spans="1:6">
      <c r="B7" s="263"/>
      <c r="C7" s="2399">
        <f>+Datos!D8</f>
        <v>45657</v>
      </c>
      <c r="D7" s="2399"/>
      <c r="E7" s="2400">
        <f>+Datos!E8</f>
        <v>45291</v>
      </c>
      <c r="F7" s="2400"/>
    </row>
    <row r="8" spans="1:6" ht="26.25">
      <c r="B8" s="245" t="s">
        <v>183</v>
      </c>
      <c r="C8" s="264" t="s">
        <v>388</v>
      </c>
      <c r="D8" s="5" t="s">
        <v>20</v>
      </c>
      <c r="E8" s="264" t="s">
        <v>388</v>
      </c>
      <c r="F8" s="6" t="s">
        <v>20</v>
      </c>
    </row>
    <row r="9" spans="1:6">
      <c r="B9" s="1" t="s">
        <v>547</v>
      </c>
    </row>
    <row r="10" spans="1:6">
      <c r="B10" s="1" t="s">
        <v>548</v>
      </c>
    </row>
    <row r="11" spans="1:6">
      <c r="B11" s="1" t="s">
        <v>643</v>
      </c>
    </row>
    <row r="12" spans="1:6">
      <c r="B12" s="1" t="s">
        <v>644</v>
      </c>
    </row>
    <row r="13" spans="1:6">
      <c r="B13" s="1" t="s">
        <v>645</v>
      </c>
    </row>
    <row r="14" spans="1:6">
      <c r="B14" s="1" t="s">
        <v>375</v>
      </c>
    </row>
    <row r="15" spans="1:6">
      <c r="B15" s="1" t="s">
        <v>375</v>
      </c>
    </row>
    <row r="16" spans="1:6">
      <c r="B16" s="1" t="s">
        <v>549</v>
      </c>
    </row>
    <row r="17" spans="1:6">
      <c r="B17" s="7" t="s">
        <v>109</v>
      </c>
      <c r="C17" s="8"/>
      <c r="D17" s="8">
        <f>+SUM(D9:D16)</f>
        <v>0</v>
      </c>
      <c r="E17" s="8"/>
      <c r="F17" s="8">
        <f>+SUM(F9:F16)</f>
        <v>0</v>
      </c>
    </row>
    <row r="19" spans="1:6">
      <c r="B19" s="41" t="s">
        <v>201</v>
      </c>
      <c r="C19" s="12"/>
      <c r="D19" s="240" t="e">
        <f>+D17-#REF!</f>
        <v>#REF!</v>
      </c>
      <c r="E19" s="12"/>
      <c r="F19" s="241" t="e">
        <f>+F17-#REF!</f>
        <v>#REF!</v>
      </c>
    </row>
    <row r="22" spans="1:6">
      <c r="A22" s="1" t="s">
        <v>389</v>
      </c>
    </row>
    <row r="23" spans="1:6">
      <c r="B23" s="244"/>
      <c r="C23" s="2316" t="s">
        <v>243</v>
      </c>
      <c r="D23" s="2316"/>
      <c r="E23" s="2316" t="s">
        <v>244</v>
      </c>
      <c r="F23" s="2387"/>
    </row>
    <row r="24" spans="1:6">
      <c r="B24" s="263"/>
      <c r="C24" s="2399">
        <f>+Datos!D8</f>
        <v>45657</v>
      </c>
      <c r="D24" s="2399"/>
      <c r="E24" s="2400">
        <f>+Datos!E8</f>
        <v>45291</v>
      </c>
      <c r="F24" s="2400"/>
    </row>
    <row r="25" spans="1:6" ht="26.25">
      <c r="B25" s="245" t="s">
        <v>183</v>
      </c>
      <c r="C25" s="264" t="s">
        <v>388</v>
      </c>
      <c r="D25" s="5" t="s">
        <v>20</v>
      </c>
      <c r="E25" s="264" t="s">
        <v>388</v>
      </c>
      <c r="F25" s="6" t="s">
        <v>20</v>
      </c>
    </row>
    <row r="33" spans="2:6">
      <c r="B33" s="7" t="s">
        <v>109</v>
      </c>
      <c r="C33" s="8"/>
      <c r="D33" s="8">
        <f>+SUM(D26:D32)</f>
        <v>0</v>
      </c>
      <c r="E33" s="8"/>
      <c r="F33" s="8">
        <f>+SUM(F26:F32)</f>
        <v>0</v>
      </c>
    </row>
    <row r="35" spans="2:6">
      <c r="B35" s="41" t="s">
        <v>201</v>
      </c>
      <c r="C35" s="12"/>
      <c r="D35" s="240" t="e">
        <f>+D33-#REF!</f>
        <v>#REF!</v>
      </c>
      <c r="E35" s="12"/>
      <c r="F35" s="241" t="e">
        <f>+F33-#REF!</f>
        <v>#REF!</v>
      </c>
    </row>
  </sheetData>
  <sheetProtection password="DF8B" sheet="1" objects="1" scenarios="1"/>
  <mergeCells count="8">
    <mergeCell ref="C24:D24"/>
    <mergeCell ref="E24:F24"/>
    <mergeCell ref="C6:D6"/>
    <mergeCell ref="C7:D7"/>
    <mergeCell ref="E6:F6"/>
    <mergeCell ref="E7:F7"/>
    <mergeCell ref="C23:D23"/>
    <mergeCell ref="E23:F23"/>
  </mergeCells>
  <hyperlinks>
    <hyperlink ref="F1" location="EºRº!A1" display="Volver" xr:uid="{00000000-0004-0000-32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0">
    <tabColor theme="0" tint="-0.34998626667073579"/>
  </sheetPr>
  <dimension ref="A1:H15"/>
  <sheetViews>
    <sheetView showGridLines="0" workbookViewId="0">
      <selection activeCell="F6" sqref="F6"/>
    </sheetView>
  </sheetViews>
  <sheetFormatPr baseColWidth="10" defaultColWidth="11.46484375" defaultRowHeight="13.15"/>
  <cols>
    <col min="1" max="1" width="11.46484375" style="1"/>
    <col min="2" max="2" width="32.796875" style="1" customWidth="1"/>
    <col min="3" max="8" width="13" style="1" customWidth="1"/>
    <col min="9" max="16384" width="11.46484375" style="1"/>
  </cols>
  <sheetData>
    <row r="1" spans="1:8" ht="14.25">
      <c r="A1" t="s">
        <v>390</v>
      </c>
      <c r="H1" s="56" t="s">
        <v>417</v>
      </c>
    </row>
    <row r="4" spans="1:8" ht="15" customHeight="1">
      <c r="B4" s="30"/>
      <c r="C4" s="2317" t="s">
        <v>243</v>
      </c>
      <c r="D4" s="2316"/>
      <c r="E4" s="2387"/>
      <c r="F4" s="2316" t="s">
        <v>244</v>
      </c>
      <c r="G4" s="2316"/>
      <c r="H4" s="2387"/>
    </row>
    <row r="5" spans="1:8" ht="15" customHeight="1">
      <c r="B5" s="31"/>
      <c r="C5" s="2404">
        <f>+Datos!D8</f>
        <v>45657</v>
      </c>
      <c r="D5" s="2405"/>
      <c r="E5" s="2406"/>
      <c r="F5" s="2405">
        <f>+Datos!E8</f>
        <v>45291</v>
      </c>
      <c r="G5" s="2405"/>
      <c r="H5" s="2406"/>
    </row>
    <row r="6" spans="1:8" ht="26.25">
      <c r="B6" s="31"/>
      <c r="C6" s="265" t="s">
        <v>391</v>
      </c>
      <c r="D6" s="265" t="s">
        <v>392</v>
      </c>
      <c r="E6" s="266" t="s">
        <v>109</v>
      </c>
      <c r="F6" s="265" t="s">
        <v>391</v>
      </c>
      <c r="G6" s="265" t="s">
        <v>392</v>
      </c>
      <c r="H6" s="266" t="s">
        <v>109</v>
      </c>
    </row>
    <row r="7" spans="1:8">
      <c r="B7" s="32"/>
      <c r="C7" s="264" t="s">
        <v>20</v>
      </c>
      <c r="D7" s="264" t="s">
        <v>20</v>
      </c>
      <c r="E7" s="267" t="s">
        <v>20</v>
      </c>
      <c r="F7" s="264" t="s">
        <v>20</v>
      </c>
      <c r="G7" s="264" t="s">
        <v>20</v>
      </c>
      <c r="H7" s="267" t="s">
        <v>20</v>
      </c>
    </row>
    <row r="8" spans="1:8">
      <c r="B8" s="1" t="s">
        <v>151</v>
      </c>
      <c r="E8" s="1">
        <f>+SUM(C8:D8)</f>
        <v>0</v>
      </c>
      <c r="H8" s="1">
        <f>+SUM(F8:G8)</f>
        <v>0</v>
      </c>
    </row>
    <row r="9" spans="1:8">
      <c r="B9" s="1" t="s">
        <v>152</v>
      </c>
      <c r="E9" s="1">
        <f t="shared" ref="E9:E12" si="0">+SUM(C9:D9)</f>
        <v>0</v>
      </c>
      <c r="H9" s="1">
        <f t="shared" ref="H9:H12" si="1">+SUM(F9:G9)</f>
        <v>0</v>
      </c>
    </row>
    <row r="10" spans="1:8">
      <c r="B10" s="1" t="s">
        <v>358</v>
      </c>
      <c r="E10" s="1">
        <f t="shared" si="0"/>
        <v>0</v>
      </c>
      <c r="H10" s="1">
        <f t="shared" si="1"/>
        <v>0</v>
      </c>
    </row>
    <row r="11" spans="1:8">
      <c r="B11" s="1" t="s">
        <v>361</v>
      </c>
      <c r="E11" s="1">
        <f t="shared" si="0"/>
        <v>0</v>
      </c>
      <c r="H11" s="1">
        <f t="shared" si="1"/>
        <v>0</v>
      </c>
    </row>
    <row r="12" spans="1:8">
      <c r="B12" s="1" t="s">
        <v>362</v>
      </c>
      <c r="E12" s="1">
        <f t="shared" si="0"/>
        <v>0</v>
      </c>
      <c r="H12" s="1">
        <f t="shared" si="1"/>
        <v>0</v>
      </c>
    </row>
    <row r="13" spans="1:8">
      <c r="B13" s="7" t="s">
        <v>189</v>
      </c>
      <c r="C13" s="8">
        <f>+SUM(C8:C12)</f>
        <v>0</v>
      </c>
      <c r="D13" s="8">
        <f t="shared" ref="D13:H13" si="2">+SUM(D8:D12)</f>
        <v>0</v>
      </c>
      <c r="E13" s="14">
        <f t="shared" si="2"/>
        <v>0</v>
      </c>
      <c r="F13" s="8">
        <f t="shared" si="2"/>
        <v>0</v>
      </c>
      <c r="G13" s="8">
        <f t="shared" si="2"/>
        <v>0</v>
      </c>
      <c r="H13" s="14">
        <f t="shared" si="2"/>
        <v>0</v>
      </c>
    </row>
    <row r="15" spans="1:8">
      <c r="B15" s="52" t="s">
        <v>201</v>
      </c>
      <c r="C15" s="15"/>
      <c r="D15" s="15"/>
      <c r="E15" s="15" t="e">
        <f>+E13-#REF!</f>
        <v>#REF!</v>
      </c>
      <c r="F15" s="15"/>
      <c r="G15" s="15"/>
      <c r="H15" s="15" t="e">
        <f>+H13-#REF!</f>
        <v>#REF!</v>
      </c>
    </row>
  </sheetData>
  <sheetProtection password="DF8B" sheet="1" objects="1" scenarios="1"/>
  <mergeCells count="4">
    <mergeCell ref="C4:E4"/>
    <mergeCell ref="C5:E5"/>
    <mergeCell ref="F4:H4"/>
    <mergeCell ref="F5:H5"/>
  </mergeCells>
  <hyperlinks>
    <hyperlink ref="H1" location="EºRº!A1" display="Volver" xr:uid="{00000000-0004-0000-33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8"/>
  <dimension ref="A1:E33"/>
  <sheetViews>
    <sheetView showGridLines="0" workbookViewId="0">
      <selection activeCell="K20" sqref="K20"/>
    </sheetView>
  </sheetViews>
  <sheetFormatPr baseColWidth="10" defaultRowHeight="14.25"/>
  <cols>
    <col min="2" max="2" width="32.53125" customWidth="1"/>
    <col min="3" max="3" width="23.53125" customWidth="1"/>
    <col min="4" max="4" width="23.19921875" customWidth="1"/>
    <col min="5" max="5" width="8.19921875" customWidth="1"/>
  </cols>
  <sheetData>
    <row r="1" spans="1:5">
      <c r="A1" t="s">
        <v>393</v>
      </c>
      <c r="B1" s="1"/>
      <c r="C1" s="1"/>
      <c r="D1" s="56" t="s">
        <v>417</v>
      </c>
      <c r="E1" s="1"/>
    </row>
    <row r="2" spans="1:5">
      <c r="A2" s="1"/>
      <c r="B2" s="1"/>
      <c r="C2" s="1"/>
      <c r="D2" s="1"/>
      <c r="E2" s="1"/>
    </row>
    <row r="3" spans="1:5">
      <c r="A3" s="1" t="s">
        <v>394</v>
      </c>
      <c r="B3" s="1"/>
      <c r="C3" s="1"/>
      <c r="D3" s="1"/>
      <c r="E3" s="1"/>
    </row>
    <row r="4" spans="1:5">
      <c r="A4" s="1"/>
      <c r="B4" s="1"/>
      <c r="C4" s="1"/>
      <c r="D4" s="1"/>
      <c r="E4" s="1"/>
    </row>
    <row r="5" spans="1:5">
      <c r="A5" s="1"/>
      <c r="B5" s="1"/>
      <c r="C5" s="1"/>
      <c r="D5" s="1"/>
      <c r="E5" s="1"/>
    </row>
    <row r="6" spans="1:5">
      <c r="A6" s="1"/>
      <c r="B6" s="2401" t="s">
        <v>395</v>
      </c>
      <c r="C6" s="125" t="s">
        <v>243</v>
      </c>
      <c r="D6" s="126" t="s">
        <v>244</v>
      </c>
      <c r="E6" s="1"/>
    </row>
    <row r="7" spans="1:5">
      <c r="A7" s="1"/>
      <c r="B7" s="2402"/>
      <c r="C7" s="127">
        <f>+Datos!D8</f>
        <v>45657</v>
      </c>
      <c r="D7" s="128">
        <f>+Datos!E8</f>
        <v>45291</v>
      </c>
      <c r="E7" s="1"/>
    </row>
    <row r="8" spans="1:5">
      <c r="A8" s="1"/>
      <c r="B8" s="2403"/>
      <c r="C8" s="5" t="s">
        <v>20</v>
      </c>
      <c r="D8" s="6" t="s">
        <v>20</v>
      </c>
      <c r="E8" s="1"/>
    </row>
    <row r="9" spans="1:5">
      <c r="A9" s="1"/>
      <c r="B9" s="28"/>
      <c r="C9" s="28"/>
      <c r="D9" s="28"/>
      <c r="E9" s="1"/>
    </row>
    <row r="10" spans="1:5">
      <c r="A10" s="1"/>
      <c r="B10" s="28"/>
      <c r="C10" s="28"/>
      <c r="D10" s="28"/>
      <c r="E10" s="1"/>
    </row>
    <row r="11" spans="1:5">
      <c r="A11" s="1"/>
      <c r="B11" s="28"/>
      <c r="C11" s="28"/>
      <c r="D11" s="28"/>
      <c r="E11" s="1"/>
    </row>
    <row r="12" spans="1:5">
      <c r="A12" s="1"/>
      <c r="B12" s="28"/>
      <c r="C12" s="28"/>
      <c r="D12" s="28"/>
      <c r="E12" s="1"/>
    </row>
    <row r="13" spans="1:5">
      <c r="A13" s="1"/>
      <c r="B13" s="28"/>
      <c r="C13" s="28"/>
      <c r="D13" s="28"/>
      <c r="E13" s="1"/>
    </row>
    <row r="14" spans="1:5">
      <c r="A14" s="1"/>
      <c r="B14" s="35" t="s">
        <v>109</v>
      </c>
      <c r="C14" s="237">
        <f>SUM(C9:C13)</f>
        <v>0</v>
      </c>
      <c r="D14" s="237">
        <f>SUM(D9:D13)</f>
        <v>0</v>
      </c>
      <c r="E14" s="1"/>
    </row>
    <row r="15" spans="1:5">
      <c r="A15" s="1"/>
      <c r="B15" s="1"/>
      <c r="C15" s="1"/>
      <c r="D15" s="1"/>
      <c r="E15" s="1"/>
    </row>
    <row r="16" spans="1:5">
      <c r="A16" s="1"/>
      <c r="B16" s="52" t="s">
        <v>201</v>
      </c>
      <c r="C16" s="15" t="e">
        <f>+C14-#REF!</f>
        <v>#REF!</v>
      </c>
      <c r="D16" s="15" t="e">
        <f>+D14-#REF!</f>
        <v>#REF!</v>
      </c>
      <c r="E16" s="1"/>
    </row>
    <row r="17" spans="1:5">
      <c r="A17" s="1"/>
      <c r="B17" s="1"/>
      <c r="C17" s="1"/>
      <c r="D17" s="1"/>
      <c r="E17" s="1"/>
    </row>
    <row r="18" spans="1:5">
      <c r="A18" s="1"/>
      <c r="B18" s="1"/>
      <c r="C18" s="1"/>
      <c r="D18" s="1"/>
      <c r="E18" s="1"/>
    </row>
    <row r="19" spans="1:5">
      <c r="A19" s="1" t="s">
        <v>396</v>
      </c>
      <c r="B19" s="1"/>
      <c r="C19" s="1"/>
      <c r="D19" s="1"/>
      <c r="E19" s="1"/>
    </row>
    <row r="20" spans="1:5">
      <c r="A20" s="1"/>
      <c r="B20" s="1"/>
      <c r="C20" s="1"/>
      <c r="D20" s="1"/>
      <c r="E20" s="1"/>
    </row>
    <row r="21" spans="1:5">
      <c r="A21" s="1"/>
      <c r="B21" s="2401" t="s">
        <v>397</v>
      </c>
      <c r="C21" s="125" t="s">
        <v>243</v>
      </c>
      <c r="D21" s="126" t="s">
        <v>244</v>
      </c>
      <c r="E21" s="1"/>
    </row>
    <row r="22" spans="1:5">
      <c r="A22" s="1"/>
      <c r="B22" s="2402"/>
      <c r="C22" s="127">
        <f>+C7</f>
        <v>45657</v>
      </c>
      <c r="D22" s="128">
        <f>+D7</f>
        <v>45291</v>
      </c>
      <c r="E22" s="1"/>
    </row>
    <row r="23" spans="1:5">
      <c r="A23" s="1"/>
      <c r="B23" s="2403"/>
      <c r="C23" s="5" t="s">
        <v>20</v>
      </c>
      <c r="D23" s="6" t="s">
        <v>20</v>
      </c>
      <c r="E23" s="1"/>
    </row>
    <row r="24" spans="1:5">
      <c r="A24" s="1"/>
      <c r="B24" s="28"/>
      <c r="C24" s="28"/>
      <c r="D24" s="28"/>
      <c r="E24" s="1"/>
    </row>
    <row r="25" spans="1:5">
      <c r="A25" s="1"/>
      <c r="B25" s="28"/>
      <c r="C25" s="28"/>
      <c r="D25" s="28"/>
      <c r="E25" s="1"/>
    </row>
    <row r="26" spans="1:5">
      <c r="A26" s="1"/>
      <c r="B26" s="28"/>
      <c r="C26" s="28"/>
      <c r="D26" s="28"/>
      <c r="E26" s="1"/>
    </row>
    <row r="27" spans="1:5">
      <c r="A27" s="1"/>
      <c r="B27" s="28"/>
      <c r="C27" s="28"/>
      <c r="D27" s="28"/>
      <c r="E27" s="1"/>
    </row>
    <row r="28" spans="1:5">
      <c r="A28" s="1"/>
      <c r="B28" s="28"/>
      <c r="C28" s="28"/>
      <c r="D28" s="28"/>
      <c r="E28" s="1"/>
    </row>
    <row r="29" spans="1:5">
      <c r="A29" s="1"/>
      <c r="B29" s="35" t="s">
        <v>109</v>
      </c>
      <c r="C29" s="237">
        <f>SUM(C24:C28)</f>
        <v>0</v>
      </c>
      <c r="D29" s="237">
        <f>SUM(D24:D28)</f>
        <v>0</v>
      </c>
      <c r="E29" s="1"/>
    </row>
    <row r="30" spans="1:5">
      <c r="A30" s="1"/>
      <c r="B30" s="1"/>
      <c r="C30" s="1"/>
      <c r="D30" s="1"/>
      <c r="E30" s="1"/>
    </row>
    <row r="31" spans="1:5">
      <c r="A31" s="1"/>
      <c r="B31" s="52" t="s">
        <v>201</v>
      </c>
      <c r="C31" s="15" t="e">
        <f>+C29-#REF!</f>
        <v>#REF!</v>
      </c>
      <c r="D31" s="17" t="e">
        <f>+D29-#REF!</f>
        <v>#REF!</v>
      </c>
      <c r="E31" s="1"/>
    </row>
    <row r="32" spans="1:5">
      <c r="A32" s="1"/>
      <c r="B32" s="1"/>
      <c r="C32" s="1"/>
      <c r="D32" s="1"/>
      <c r="E32" s="1"/>
    </row>
    <row r="33" spans="1:5">
      <c r="A33" s="1"/>
      <c r="B33" s="1"/>
      <c r="C33" s="1"/>
      <c r="D33" s="1"/>
      <c r="E33" s="1"/>
    </row>
  </sheetData>
  <sheetProtection password="DF8B" sheet="1" objects="1" scenarios="1"/>
  <mergeCells count="2">
    <mergeCell ref="B6:B8"/>
    <mergeCell ref="B21:B23"/>
  </mergeCells>
  <hyperlinks>
    <hyperlink ref="D1" location="EºRº!A1" display="Volver" xr:uid="{00000000-0004-0000-34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64"/>
  <dimension ref="A1:E15"/>
  <sheetViews>
    <sheetView showGridLines="0" workbookViewId="0">
      <selection activeCell="G17" sqref="G17"/>
    </sheetView>
  </sheetViews>
  <sheetFormatPr baseColWidth="10" defaultRowHeight="14.25"/>
  <cols>
    <col min="2" max="2" width="37.796875" customWidth="1"/>
    <col min="3" max="3" width="12.19921875" bestFit="1" customWidth="1"/>
    <col min="4" max="4" width="13.796875" bestFit="1" customWidth="1"/>
  </cols>
  <sheetData>
    <row r="1" spans="1:5">
      <c r="A1" t="s">
        <v>398</v>
      </c>
      <c r="B1" s="1"/>
      <c r="C1" s="1"/>
      <c r="D1" s="56" t="s">
        <v>417</v>
      </c>
      <c r="E1" s="1"/>
    </row>
    <row r="2" spans="1:5">
      <c r="B2" s="1"/>
      <c r="C2" s="1"/>
      <c r="D2" s="1"/>
      <c r="E2" s="1"/>
    </row>
    <row r="3" spans="1:5">
      <c r="A3" s="1"/>
      <c r="B3" s="1295"/>
      <c r="C3" s="1219" t="s">
        <v>243</v>
      </c>
      <c r="D3" s="1308" t="s">
        <v>244</v>
      </c>
      <c r="E3" s="1"/>
    </row>
    <row r="4" spans="1:5">
      <c r="A4" s="1"/>
      <c r="B4" s="1325"/>
      <c r="C4" s="1269">
        <f>+Datos!D8</f>
        <v>45657</v>
      </c>
      <c r="D4" s="1317">
        <f>+Datos!E8</f>
        <v>45291</v>
      </c>
      <c r="E4" s="1"/>
    </row>
    <row r="5" spans="1:5">
      <c r="A5" s="1"/>
      <c r="B5" s="1276"/>
      <c r="C5" s="1221" t="s">
        <v>20</v>
      </c>
      <c r="D5" s="1277" t="s">
        <v>20</v>
      </c>
      <c r="E5" s="1"/>
    </row>
    <row r="6" spans="1:5">
      <c r="A6" s="1"/>
      <c r="B6" s="1" t="s">
        <v>399</v>
      </c>
      <c r="C6" s="1"/>
      <c r="D6" s="1"/>
      <c r="E6" s="1"/>
    </row>
    <row r="7" spans="1:5">
      <c r="A7" s="1"/>
      <c r="B7" s="1" t="s">
        <v>400</v>
      </c>
      <c r="C7" s="1"/>
      <c r="D7" s="1"/>
      <c r="E7" s="1"/>
    </row>
    <row r="8" spans="1:5">
      <c r="A8" s="1"/>
      <c r="B8" s="1" t="s">
        <v>401</v>
      </c>
      <c r="C8" s="1"/>
      <c r="D8" s="1"/>
      <c r="E8" s="1"/>
    </row>
    <row r="9" spans="1:5">
      <c r="A9" s="1"/>
      <c r="B9" s="1" t="s">
        <v>402</v>
      </c>
      <c r="C9" s="1"/>
      <c r="D9" s="1"/>
      <c r="E9" s="1"/>
    </row>
    <row r="10" spans="1:5">
      <c r="A10" s="1"/>
      <c r="B10" s="1" t="s">
        <v>403</v>
      </c>
      <c r="C10" s="1"/>
      <c r="D10" s="1"/>
      <c r="E10" s="1"/>
    </row>
    <row r="11" spans="1:5">
      <c r="A11" s="1"/>
      <c r="B11" s="1" t="s">
        <v>375</v>
      </c>
      <c r="C11" s="1"/>
      <c r="D11" s="1"/>
      <c r="E11" s="1"/>
    </row>
    <row r="12" spans="1:5">
      <c r="A12" s="1"/>
      <c r="B12" s="1242" t="s">
        <v>189</v>
      </c>
      <c r="C12" s="1224">
        <f>+SUM(C6:C11)</f>
        <v>0</v>
      </c>
      <c r="D12" s="1224">
        <f>+SUM(D6:D11)</f>
        <v>0</v>
      </c>
      <c r="E12" s="1"/>
    </row>
    <row r="13" spans="1:5">
      <c r="A13" s="1"/>
      <c r="B13" s="1"/>
      <c r="C13" s="1"/>
      <c r="D13" s="1"/>
      <c r="E13" s="1"/>
    </row>
    <row r="14" spans="1:5">
      <c r="A14" s="1"/>
      <c r="B14" s="52" t="s">
        <v>201</v>
      </c>
      <c r="C14" s="15"/>
      <c r="D14" s="17"/>
      <c r="E14" s="1"/>
    </row>
    <row r="15" spans="1:5">
      <c r="A15" s="1"/>
      <c r="B15" s="1"/>
      <c r="C15" s="1"/>
      <c r="D15" s="1"/>
      <c r="E15" s="1"/>
    </row>
  </sheetData>
  <sheetProtection algorithmName="SHA-512" hashValue="wbKcSA5IUoQ8EaWIQ7Yew2gWRqkbUQBRfdxEWNNgsAN3Q2D3OR7FIU42HhqB+9qWywxQU7LP81Ec8QaE6GQs7Q==" saltValue="ToH5XEq+APvwKRny92pfJQ==" spinCount="100000" sheet="1" objects="1" scenarios="1"/>
  <hyperlinks>
    <hyperlink ref="D1" location="EºRº!A1" display="Volver" xr:uid="{00000000-0004-0000-3500-000000000000}"/>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3">
    <tabColor theme="0" tint="-0.34998626667073579"/>
  </sheetPr>
  <dimension ref="A1:J46"/>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16384" width="11.46484375" style="1"/>
  </cols>
  <sheetData>
    <row r="1" spans="1:10" ht="14.25">
      <c r="A1" t="s">
        <v>404</v>
      </c>
      <c r="E1" s="56" t="s">
        <v>417</v>
      </c>
    </row>
    <row r="2" spans="1:10" ht="15" customHeight="1">
      <c r="G2" s="2407"/>
      <c r="H2" s="2408"/>
      <c r="I2" s="2408"/>
      <c r="J2" s="2409"/>
    </row>
    <row r="3" spans="1:10" ht="16.5" customHeight="1">
      <c r="B3" s="1396"/>
      <c r="C3" s="1219" t="s">
        <v>243</v>
      </c>
      <c r="D3" s="1308" t="s">
        <v>244</v>
      </c>
      <c r="G3" s="2410"/>
      <c r="H3" s="2411"/>
      <c r="I3" s="2411"/>
      <c r="J3" s="2412"/>
    </row>
    <row r="4" spans="1:10">
      <c r="B4" s="1397" t="s">
        <v>414</v>
      </c>
      <c r="C4" s="1269">
        <f>+Datos!D8</f>
        <v>45657</v>
      </c>
      <c r="D4" s="1269">
        <f>+Datos!E8</f>
        <v>45291</v>
      </c>
      <c r="G4" s="2413"/>
      <c r="H4" s="2414"/>
      <c r="I4" s="2414"/>
      <c r="J4" s="2415"/>
    </row>
    <row r="5" spans="1:10">
      <c r="B5" s="1398"/>
      <c r="C5" s="1221" t="s">
        <v>20</v>
      </c>
      <c r="D5" s="1277" t="s">
        <v>20</v>
      </c>
    </row>
    <row r="6" spans="1:10">
      <c r="B6" s="268" t="s">
        <v>63</v>
      </c>
      <c r="C6" s="10"/>
      <c r="D6" s="10"/>
    </row>
    <row r="7" spans="1:10">
      <c r="B7" s="19" t="s">
        <v>405</v>
      </c>
      <c r="C7" s="152"/>
      <c r="D7" s="152"/>
    </row>
    <row r="8" spans="1:10">
      <c r="B8" s="19" t="s">
        <v>406</v>
      </c>
      <c r="C8" s="152"/>
      <c r="D8" s="152"/>
    </row>
    <row r="9" spans="1:10">
      <c r="B9" s="19" t="s">
        <v>408</v>
      </c>
      <c r="C9" s="152"/>
      <c r="D9" s="152"/>
    </row>
    <row r="10" spans="1:10">
      <c r="B10" s="19" t="s">
        <v>409</v>
      </c>
      <c r="C10" s="152"/>
      <c r="D10" s="152"/>
    </row>
    <row r="11" spans="1:10">
      <c r="B11" s="19" t="s">
        <v>410</v>
      </c>
      <c r="C11" s="152"/>
      <c r="D11" s="152"/>
    </row>
    <row r="12" spans="1:10">
      <c r="B12" s="19" t="s">
        <v>411</v>
      </c>
      <c r="C12" s="152"/>
      <c r="D12" s="152"/>
    </row>
    <row r="13" spans="1:10">
      <c r="B13" s="19" t="s">
        <v>614</v>
      </c>
      <c r="C13" s="152"/>
      <c r="D13" s="152"/>
    </row>
    <row r="14" spans="1:10">
      <c r="B14" s="19" t="s">
        <v>412</v>
      </c>
      <c r="C14" s="152"/>
      <c r="D14" s="152"/>
    </row>
    <row r="15" spans="1:10">
      <c r="B15" s="19" t="s">
        <v>413</v>
      </c>
      <c r="C15" s="152"/>
      <c r="D15" s="152"/>
    </row>
    <row r="16" spans="1:10">
      <c r="B16" s="19" t="s">
        <v>615</v>
      </c>
      <c r="C16" s="152"/>
      <c r="D16" s="152"/>
    </row>
    <row r="17" spans="2:4">
      <c r="B17" s="19" t="s">
        <v>555</v>
      </c>
      <c r="C17" s="152"/>
      <c r="D17" s="152"/>
    </row>
    <row r="18" spans="2:4">
      <c r="B18" s="19" t="s">
        <v>556</v>
      </c>
      <c r="C18" s="152"/>
      <c r="D18" s="152"/>
    </row>
    <row r="19" spans="2:4">
      <c r="B19" s="19" t="s">
        <v>558</v>
      </c>
      <c r="C19" s="152"/>
      <c r="D19" s="152"/>
    </row>
    <row r="20" spans="2:4">
      <c r="B20" s="19" t="s">
        <v>559</v>
      </c>
      <c r="C20" s="301"/>
      <c r="D20" s="301"/>
    </row>
    <row r="21" spans="2:4">
      <c r="B21" s="19" t="s">
        <v>560</v>
      </c>
      <c r="C21" s="301"/>
      <c r="D21" s="301"/>
    </row>
    <row r="22" spans="2:4">
      <c r="B22" s="19" t="s">
        <v>561</v>
      </c>
      <c r="C22" s="301"/>
      <c r="D22" s="301"/>
    </row>
    <row r="23" spans="2:4">
      <c r="B23" s="19" t="s">
        <v>562</v>
      </c>
      <c r="C23" s="301"/>
      <c r="D23" s="301"/>
    </row>
    <row r="24" spans="2:4">
      <c r="B24" s="19" t="s">
        <v>108</v>
      </c>
      <c r="C24" s="152"/>
      <c r="D24" s="152"/>
    </row>
    <row r="25" spans="2:4" ht="26.25">
      <c r="B25" s="19" t="s">
        <v>550</v>
      </c>
      <c r="C25" s="152"/>
      <c r="D25" s="152"/>
    </row>
    <row r="26" spans="2:4">
      <c r="B26" s="19" t="s">
        <v>676</v>
      </c>
      <c r="C26" s="152">
        <f>+'Nº18 Pr Plt Eq'!J39+'Nº17 Intangible'!I45</f>
        <v>0</v>
      </c>
      <c r="D26" s="152"/>
    </row>
    <row r="27" spans="2:4">
      <c r="B27" s="1319" t="s">
        <v>629</v>
      </c>
      <c r="C27" s="1259">
        <f>+SUM(C6:C26)</f>
        <v>0</v>
      </c>
      <c r="D27" s="1259">
        <f>+SUM(D6:D26)</f>
        <v>0</v>
      </c>
    </row>
    <row r="28" spans="2:4">
      <c r="C28" s="152"/>
      <c r="D28" s="152"/>
    </row>
    <row r="29" spans="2:4">
      <c r="B29" s="268" t="s">
        <v>70</v>
      </c>
      <c r="C29" s="152"/>
      <c r="D29" s="152"/>
    </row>
    <row r="30" spans="2:4">
      <c r="B30" s="19" t="s">
        <v>405</v>
      </c>
      <c r="C30" s="152"/>
      <c r="D30" s="152"/>
    </row>
    <row r="31" spans="2:4">
      <c r="B31" s="19" t="s">
        <v>406</v>
      </c>
      <c r="C31" s="152"/>
      <c r="D31" s="152"/>
    </row>
    <row r="32" spans="2:4">
      <c r="B32" s="19" t="s">
        <v>407</v>
      </c>
      <c r="C32" s="152"/>
      <c r="D32" s="152"/>
    </row>
    <row r="33" spans="2:4">
      <c r="B33" s="19" t="s">
        <v>408</v>
      </c>
      <c r="C33" s="152"/>
      <c r="D33" s="152"/>
    </row>
    <row r="34" spans="2:4">
      <c r="B34" s="19" t="s">
        <v>409</v>
      </c>
      <c r="C34" s="152"/>
      <c r="D34" s="152"/>
    </row>
    <row r="35" spans="2:4">
      <c r="B35" s="19" t="s">
        <v>410</v>
      </c>
      <c r="C35" s="152"/>
      <c r="D35" s="152"/>
    </row>
    <row r="36" spans="2:4">
      <c r="B36" s="19" t="s">
        <v>411</v>
      </c>
      <c r="C36" s="152"/>
      <c r="D36" s="152"/>
    </row>
    <row r="37" spans="2:4">
      <c r="B37" s="19" t="s">
        <v>412</v>
      </c>
      <c r="C37" s="152"/>
      <c r="D37" s="152"/>
    </row>
    <row r="38" spans="2:4">
      <c r="B38" s="19" t="s">
        <v>413</v>
      </c>
      <c r="C38" s="152"/>
      <c r="D38" s="152"/>
    </row>
    <row r="39" spans="2:4">
      <c r="B39" s="19" t="s">
        <v>375</v>
      </c>
      <c r="C39" s="152"/>
      <c r="D39" s="152"/>
    </row>
    <row r="40" spans="2:4">
      <c r="B40" s="19" t="s">
        <v>375</v>
      </c>
      <c r="C40" s="152"/>
      <c r="D40" s="152"/>
    </row>
    <row r="41" spans="2:4">
      <c r="B41" s="1319" t="s">
        <v>629</v>
      </c>
      <c r="C41" s="1259">
        <f>+SUM(C30:C40)</f>
        <v>0</v>
      </c>
      <c r="D41" s="1259">
        <f>+SUM(D30:D40)</f>
        <v>0</v>
      </c>
    </row>
    <row r="42" spans="2:4">
      <c r="B42" s="1319" t="s">
        <v>630</v>
      </c>
      <c r="C42" s="1259">
        <f>+C41+C27</f>
        <v>0</v>
      </c>
      <c r="D42" s="1259">
        <f>+D41+D27</f>
        <v>0</v>
      </c>
    </row>
    <row r="45" spans="2:4">
      <c r="B45" s="24" t="s">
        <v>631</v>
      </c>
      <c r="C45" s="15"/>
      <c r="D45" s="17"/>
    </row>
    <row r="46" spans="2:4">
      <c r="B46" s="24" t="s">
        <v>632</v>
      </c>
      <c r="C46" s="15"/>
      <c r="D46" s="17"/>
    </row>
  </sheetData>
  <sheetProtection algorithmName="SHA-512" hashValue="sX2Eb23yzywcwAx8oSuIxZVmV0kZJMVFs/1cNvvyg02WOSVhCvdmvNTHObONC88zbB7WGkT4eaypeK5IAKCBkA==" saltValue="4aJxm4fF3/yW1xGFzaop0g==" spinCount="100000" sheet="1" objects="1" scenarios="1"/>
  <mergeCells count="1">
    <mergeCell ref="G2:J4"/>
  </mergeCells>
  <hyperlinks>
    <hyperlink ref="E1" location="EºRº!A1" display="Volver" xr:uid="{00000000-0004-0000-3600-000000000000}"/>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4">
    <tabColor theme="3" tint="0.39997558519241921"/>
  </sheetPr>
  <dimension ref="A1:I29"/>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6" width="12.53125" style="1" customWidth="1"/>
    <col min="7" max="7" width="44" style="1" bestFit="1" customWidth="1"/>
    <col min="8" max="16384" width="11.46484375" style="1"/>
  </cols>
  <sheetData>
    <row r="1" spans="1:9" ht="14.25">
      <c r="A1" t="s">
        <v>404</v>
      </c>
      <c r="E1" s="56" t="s">
        <v>611</v>
      </c>
      <c r="F1" s="56"/>
    </row>
    <row r="3" spans="1:9">
      <c r="B3" s="1396"/>
      <c r="C3" s="1266" t="s">
        <v>243</v>
      </c>
      <c r="D3" s="1308" t="s">
        <v>244</v>
      </c>
      <c r="G3" s="102"/>
      <c r="H3" s="649"/>
      <c r="I3" s="649"/>
    </row>
    <row r="4" spans="1:9">
      <c r="B4" s="1397" t="s">
        <v>414</v>
      </c>
      <c r="C4" s="1394">
        <f>+Datos!D8</f>
        <v>45657</v>
      </c>
      <c r="D4" s="1317">
        <f>+Datos!E8</f>
        <v>45291</v>
      </c>
      <c r="G4" s="102"/>
      <c r="H4" s="649"/>
      <c r="I4" s="649"/>
    </row>
    <row r="5" spans="1:9">
      <c r="B5" s="1398"/>
      <c r="C5" s="1270" t="s">
        <v>20</v>
      </c>
      <c r="D5" s="1277" t="s">
        <v>20</v>
      </c>
      <c r="G5" s="102"/>
      <c r="H5" s="649"/>
      <c r="I5" s="649"/>
    </row>
    <row r="6" spans="1:9">
      <c r="B6" s="1" t="s">
        <v>399</v>
      </c>
      <c r="C6" s="315"/>
      <c r="D6" s="315"/>
      <c r="G6" s="102"/>
      <c r="H6" s="649"/>
      <c r="I6" s="649"/>
    </row>
    <row r="7" spans="1:9">
      <c r="B7" s="1" t="s">
        <v>893</v>
      </c>
      <c r="C7" s="315"/>
      <c r="D7" s="315"/>
      <c r="G7" s="102"/>
      <c r="H7" s="649"/>
      <c r="I7" s="649"/>
    </row>
    <row r="8" spans="1:9">
      <c r="B8" s="1" t="s">
        <v>894</v>
      </c>
      <c r="C8" s="315"/>
      <c r="D8" s="315"/>
      <c r="G8" s="102"/>
      <c r="H8" s="649"/>
      <c r="I8" s="649"/>
    </row>
    <row r="9" spans="1:9">
      <c r="B9" s="1" t="s">
        <v>895</v>
      </c>
      <c r="C9" s="315"/>
      <c r="D9" s="315"/>
      <c r="G9" s="102"/>
      <c r="H9" s="649"/>
      <c r="I9" s="649"/>
    </row>
    <row r="10" spans="1:9">
      <c r="B10" s="1" t="s">
        <v>896</v>
      </c>
      <c r="C10" s="315"/>
      <c r="D10" s="315"/>
      <c r="G10" s="102"/>
      <c r="H10" s="649"/>
      <c r="I10" s="649"/>
    </row>
    <row r="11" spans="1:9">
      <c r="B11" s="188" t="s">
        <v>897</v>
      </c>
      <c r="C11" s="315"/>
      <c r="D11" s="315"/>
      <c r="G11" s="102"/>
      <c r="H11" s="649"/>
      <c r="I11" s="649"/>
    </row>
    <row r="12" spans="1:9">
      <c r="B12" s="188" t="s">
        <v>911</v>
      </c>
      <c r="C12" s="315"/>
      <c r="D12" s="315"/>
      <c r="G12" s="102"/>
      <c r="H12" s="649"/>
      <c r="I12" s="649"/>
    </row>
    <row r="13" spans="1:9">
      <c r="B13" s="1319" t="s">
        <v>189</v>
      </c>
      <c r="C13" s="1259">
        <f>+SUM(C6:C12)</f>
        <v>0</v>
      </c>
      <c r="D13" s="1259">
        <f>+SUM(D6:D12)</f>
        <v>0</v>
      </c>
      <c r="G13" s="102"/>
      <c r="H13" s="649"/>
      <c r="I13" s="649"/>
    </row>
    <row r="14" spans="1:9">
      <c r="C14" s="152"/>
      <c r="D14" s="152"/>
      <c r="G14" s="102"/>
      <c r="H14" s="649"/>
      <c r="I14" s="649"/>
    </row>
    <row r="15" spans="1:9">
      <c r="B15" s="81" t="s">
        <v>201</v>
      </c>
      <c r="C15" s="317">
        <f>+C13-'E°R° Natural SVS '!D11</f>
        <v>0</v>
      </c>
      <c r="D15" s="317">
        <f>+D13-'E°R° Natural SVS '!E11</f>
        <v>0</v>
      </c>
      <c r="H15" s="628"/>
    </row>
    <row r="16" spans="1:9">
      <c r="G16" s="102"/>
      <c r="H16" s="649"/>
      <c r="I16" s="649"/>
    </row>
    <row r="17" spans="6:9">
      <c r="F17" s="616"/>
      <c r="G17" s="616"/>
      <c r="H17" s="633"/>
      <c r="I17" s="616"/>
    </row>
    <row r="18" spans="6:9">
      <c r="F18" s="616"/>
      <c r="G18" s="616"/>
      <c r="H18" s="633"/>
      <c r="I18" s="616"/>
    </row>
    <row r="19" spans="6:9">
      <c r="G19" s="102"/>
      <c r="H19" s="649"/>
      <c r="I19" s="649"/>
    </row>
    <row r="20" spans="6:9">
      <c r="G20" s="102"/>
      <c r="H20" s="649"/>
      <c r="I20" s="649"/>
    </row>
    <row r="21" spans="6:9">
      <c r="G21" s="102"/>
      <c r="H21" s="649"/>
      <c r="I21" s="649"/>
    </row>
    <row r="22" spans="6:9">
      <c r="F22" s="616"/>
      <c r="G22" s="616"/>
      <c r="H22" s="633"/>
      <c r="I22" s="616"/>
    </row>
    <row r="23" spans="6:9">
      <c r="F23" s="616"/>
      <c r="G23" s="616"/>
      <c r="H23" s="633"/>
      <c r="I23" s="616"/>
    </row>
    <row r="24" spans="6:9">
      <c r="F24" s="616"/>
      <c r="G24" s="616"/>
      <c r="H24" s="633"/>
      <c r="I24" s="633"/>
    </row>
    <row r="25" spans="6:9">
      <c r="G25" s="102"/>
      <c r="H25" s="649"/>
      <c r="I25" s="649"/>
    </row>
    <row r="26" spans="6:9">
      <c r="F26" s="616"/>
      <c r="G26" s="616"/>
      <c r="H26" s="649"/>
      <c r="I26" s="616"/>
    </row>
    <row r="27" spans="6:9">
      <c r="F27" s="616"/>
      <c r="G27" s="102"/>
      <c r="H27" s="649"/>
      <c r="I27" s="649"/>
    </row>
    <row r="28" spans="6:9">
      <c r="F28" s="616"/>
      <c r="G28" s="102"/>
      <c r="H28" s="649"/>
      <c r="I28" s="649"/>
    </row>
    <row r="29" spans="6:9">
      <c r="F29" s="616"/>
      <c r="H29" s="630"/>
      <c r="I29" s="628"/>
    </row>
  </sheetData>
  <sheetProtection algorithmName="SHA-512" hashValue="ioV0gttKsiAMl22SkqL4Q5CY5SVbT5E/SNbRq73nU/AiBjiBN4tdDu8w73QQuhEPMd9ba8ePYmM1E6eb6fV/Ig==" saltValue="cLjfBzu8NW24DsVq6Ied1Q==" spinCount="100000" sheet="1" objects="1" scenarios="1"/>
  <hyperlinks>
    <hyperlink ref="E1" location="'E°R° Natural SVS '!A1" display="Volver ER SVS" xr:uid="{00000000-0004-0000-3700-000000000000}"/>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5">
    <tabColor theme="3" tint="0.39997558519241921"/>
  </sheetPr>
  <dimension ref="A1:E28"/>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16384" width="11.46484375" style="1"/>
  </cols>
  <sheetData>
    <row r="1" spans="1:5" ht="14.25">
      <c r="A1" t="s">
        <v>404</v>
      </c>
      <c r="E1" s="56" t="s">
        <v>611</v>
      </c>
    </row>
    <row r="4" spans="1:5">
      <c r="B4" s="20" t="s">
        <v>566</v>
      </c>
    </row>
    <row r="5" spans="1:5">
      <c r="B5" s="20" t="s">
        <v>567</v>
      </c>
    </row>
    <row r="7" spans="1:5" ht="15" customHeight="1">
      <c r="B7" s="2416" t="s">
        <v>563</v>
      </c>
      <c r="C7" s="1219" t="s">
        <v>243</v>
      </c>
      <c r="D7" s="1308" t="s">
        <v>244</v>
      </c>
    </row>
    <row r="8" spans="1:5">
      <c r="B8" s="2417"/>
      <c r="C8" s="1269">
        <f>+Datos!D8</f>
        <v>45657</v>
      </c>
      <c r="D8" s="1317">
        <f>+Datos!E8</f>
        <v>45291</v>
      </c>
    </row>
    <row r="9" spans="1:5">
      <c r="B9" s="2418"/>
      <c r="C9" s="1221" t="s">
        <v>20</v>
      </c>
      <c r="D9" s="1277" t="s">
        <v>20</v>
      </c>
    </row>
    <row r="10" spans="1:5">
      <c r="B10" s="19" t="s">
        <v>564</v>
      </c>
      <c r="C10" s="315"/>
      <c r="D10" s="315"/>
    </row>
    <row r="11" spans="1:5">
      <c r="B11" s="19" t="s">
        <v>565</v>
      </c>
      <c r="C11" s="315"/>
      <c r="D11" s="315"/>
    </row>
    <row r="12" spans="1:5">
      <c r="B12" s="191" t="s">
        <v>375</v>
      </c>
      <c r="C12" s="315"/>
      <c r="D12" s="315"/>
    </row>
    <row r="13" spans="1:5">
      <c r="B13" s="191" t="s">
        <v>375</v>
      </c>
      <c r="C13" s="315"/>
      <c r="D13" s="315"/>
    </row>
    <row r="14" spans="1:5">
      <c r="B14" s="1319" t="s">
        <v>189</v>
      </c>
      <c r="C14" s="1306">
        <f>+SUM(C10:C13)</f>
        <v>0</v>
      </c>
      <c r="D14" s="1245">
        <f>+SUM(D10:D13)</f>
        <v>0</v>
      </c>
    </row>
    <row r="15" spans="1:5">
      <c r="C15" s="315"/>
      <c r="D15" s="315"/>
    </row>
    <row r="16" spans="1:5">
      <c r="B16" s="24" t="s">
        <v>203</v>
      </c>
      <c r="C16" s="435">
        <f>+C14-'E°R° Natural SVS '!D13</f>
        <v>0</v>
      </c>
      <c r="D16" s="436">
        <f>+D14-'E°R° Natural SVS '!E13</f>
        <v>0</v>
      </c>
    </row>
    <row r="18" spans="2:5">
      <c r="B18" s="20" t="s">
        <v>568</v>
      </c>
    </row>
    <row r="19" spans="2:5" ht="15" customHeight="1">
      <c r="B19" s="2416" t="s">
        <v>573</v>
      </c>
      <c r="C19" s="1219" t="s">
        <v>319</v>
      </c>
      <c r="D19" s="1308" t="s">
        <v>199</v>
      </c>
      <c r="E19" s="10"/>
    </row>
    <row r="20" spans="2:5">
      <c r="B20" s="2417"/>
      <c r="C20" s="1269">
        <f>+Datos!D6</f>
        <v>45657</v>
      </c>
      <c r="D20" s="1317">
        <f>+Datos!E6</f>
        <v>45291</v>
      </c>
      <c r="E20" s="457"/>
    </row>
    <row r="21" spans="2:5">
      <c r="B21" s="2418"/>
      <c r="C21" s="1221" t="s">
        <v>20</v>
      </c>
      <c r="D21" s="1277" t="s">
        <v>20</v>
      </c>
      <c r="E21" s="10"/>
    </row>
    <row r="22" spans="2:5">
      <c r="B22" s="19" t="s">
        <v>685</v>
      </c>
      <c r="C22" s="437"/>
      <c r="D22" s="437"/>
      <c r="E22" s="437"/>
    </row>
    <row r="23" spans="2:5">
      <c r="B23" s="19" t="s">
        <v>569</v>
      </c>
      <c r="C23" s="315"/>
      <c r="D23" s="315"/>
      <c r="E23" s="315"/>
    </row>
    <row r="24" spans="2:5">
      <c r="B24" s="19" t="s">
        <v>570</v>
      </c>
      <c r="C24" s="315"/>
      <c r="D24" s="315"/>
      <c r="E24" s="315"/>
    </row>
    <row r="25" spans="2:5">
      <c r="B25" s="19" t="s">
        <v>571</v>
      </c>
      <c r="C25" s="315"/>
      <c r="D25" s="315"/>
      <c r="E25" s="315"/>
    </row>
    <row r="26" spans="2:5">
      <c r="B26" s="1319" t="s">
        <v>572</v>
      </c>
      <c r="C26" s="1306">
        <f>+SUM(C22:C25)</f>
        <v>0</v>
      </c>
      <c r="D26" s="1245">
        <f t="shared" ref="D26" si="0">+SUM(D22:D25)</f>
        <v>0</v>
      </c>
      <c r="E26" s="322"/>
    </row>
    <row r="27" spans="2:5">
      <c r="C27" s="315"/>
      <c r="D27" s="315"/>
      <c r="E27" s="315"/>
    </row>
    <row r="28" spans="2:5">
      <c r="B28" s="43" t="s">
        <v>203</v>
      </c>
      <c r="C28" s="419"/>
      <c r="D28" s="420"/>
      <c r="E28" s="392"/>
    </row>
  </sheetData>
  <sheetProtection algorithmName="SHA-512" hashValue="x/bN1Aj/DQ+6u8zkceUAqaIKjNCWosqQYvMzSNOJq8Q8/fVO9cs3eH29ThdEEuVzIXZfRzXQ/Oc1Mn1SNvKZnw==" saltValue="rkOH3REmsFc0k11PPyzTnA==" spinCount="100000" sheet="1" objects="1" scenarios="1"/>
  <mergeCells count="2">
    <mergeCell ref="B7:B9"/>
    <mergeCell ref="B19:B21"/>
  </mergeCells>
  <hyperlinks>
    <hyperlink ref="E1" location="'E°R° Natural SVS '!A1" display="Volver ER SVS" xr:uid="{00000000-0004-0000-38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AD84-DCA6-490E-A150-6EE932B2DC2C}">
  <dimension ref="A1:F57"/>
  <sheetViews>
    <sheetView workbookViewId="0">
      <selection activeCell="F2" sqref="F2"/>
    </sheetView>
  </sheetViews>
  <sheetFormatPr baseColWidth="10" defaultColWidth="11.53125" defaultRowHeight="15"/>
  <cols>
    <col min="1" max="1" width="11.53125" style="1450"/>
    <col min="2" max="2" width="34.86328125" style="1450" customWidth="1"/>
    <col min="3" max="3" width="17.86328125" style="1450" customWidth="1"/>
    <col min="4" max="4" width="24.86328125" style="1450" customWidth="1"/>
    <col min="5" max="5" width="22.33203125" style="1450" customWidth="1"/>
    <col min="6" max="6" width="18.86328125" style="1450" customWidth="1"/>
    <col min="7" max="16384" width="11.53125" style="1450"/>
  </cols>
  <sheetData>
    <row r="1" spans="2:6" ht="15.4" thickBot="1"/>
    <row r="2" spans="2:6">
      <c r="B2" s="1643"/>
      <c r="C2" s="1644"/>
      <c r="D2" s="1643"/>
      <c r="E2" s="1645"/>
      <c r="F2" s="1646" t="s">
        <v>1546</v>
      </c>
    </row>
    <row r="3" spans="2:6" ht="15.4" thickBot="1">
      <c r="B3" s="2031" t="s">
        <v>934</v>
      </c>
      <c r="C3" s="2031"/>
      <c r="D3" s="2031"/>
      <c r="E3" s="1647"/>
      <c r="F3" s="1648"/>
    </row>
    <row r="4" spans="2:6">
      <c r="B4" s="2031"/>
      <c r="C4" s="2031"/>
      <c r="D4" s="2031"/>
      <c r="E4" s="1649" t="s">
        <v>1475</v>
      </c>
      <c r="F4" s="1645" t="s">
        <v>1698</v>
      </c>
    </row>
    <row r="5" spans="2:6">
      <c r="B5" s="2032" t="s">
        <v>1669</v>
      </c>
      <c r="C5" s="2032"/>
      <c r="D5" s="2033"/>
      <c r="E5" s="1650" t="s">
        <v>1476</v>
      </c>
      <c r="F5" s="1645" t="s">
        <v>1715</v>
      </c>
    </row>
    <row r="6" spans="2:6">
      <c r="B6" s="2034" t="s">
        <v>1547</v>
      </c>
      <c r="C6" s="2034"/>
      <c r="D6" s="2035"/>
      <c r="E6" s="1650" t="s">
        <v>1478</v>
      </c>
      <c r="F6" s="1651"/>
    </row>
    <row r="7" spans="2:6" ht="15.4" thickBot="1">
      <c r="B7" s="2034"/>
      <c r="C7" s="2034"/>
      <c r="D7" s="2035"/>
      <c r="E7" s="1652" t="s">
        <v>1476</v>
      </c>
      <c r="F7" s="1653"/>
    </row>
    <row r="9" spans="2:6">
      <c r="B9" s="1672" t="s">
        <v>1548</v>
      </c>
    </row>
    <row r="10" spans="2:6" ht="2.4500000000000002" customHeight="1" thickBot="1"/>
    <row r="11" spans="2:6" ht="192.6" customHeight="1" thickBot="1">
      <c r="B11" s="2095" t="s">
        <v>1549</v>
      </c>
      <c r="C11" s="2096"/>
      <c r="D11" s="2096"/>
      <c r="E11" s="2096"/>
      <c r="F11" s="2097"/>
    </row>
    <row r="13" spans="2:6">
      <c r="B13" s="1672" t="s">
        <v>1550</v>
      </c>
    </row>
    <row r="14" spans="2:6" ht="7.25" customHeight="1" thickBot="1"/>
    <row r="15" spans="2:6" ht="80.45" customHeight="1" thickBot="1">
      <c r="B15" s="2048" t="s">
        <v>1551</v>
      </c>
      <c r="C15" s="2037"/>
      <c r="D15" s="2037"/>
      <c r="E15" s="2037"/>
      <c r="F15" s="2038"/>
    </row>
    <row r="17" spans="1:6" ht="15.4" thickBot="1">
      <c r="B17" s="1672" t="s">
        <v>1552</v>
      </c>
    </row>
    <row r="18" spans="1:6" ht="37.799999999999997" customHeight="1" thickBot="1">
      <c r="B18" s="2048" t="s">
        <v>1553</v>
      </c>
      <c r="C18" s="2037"/>
      <c r="D18" s="2037"/>
      <c r="E18" s="2037"/>
      <c r="F18" s="2038"/>
    </row>
    <row r="19" spans="1:6" ht="15.4" thickBot="1">
      <c r="B19" s="1672"/>
    </row>
    <row r="20" spans="1:6" ht="15.4" thickBot="1">
      <c r="B20" s="1729" t="s">
        <v>1554</v>
      </c>
      <c r="C20" s="1730"/>
      <c r="D20" s="1730" t="s">
        <v>1555</v>
      </c>
      <c r="E20" s="1730" t="s">
        <v>1556</v>
      </c>
      <c r="F20" s="1762" t="s">
        <v>1557</v>
      </c>
    </row>
    <row r="21" spans="1:6" ht="15.4" thickBot="1">
      <c r="B21" s="1731" t="s">
        <v>1558</v>
      </c>
      <c r="C21" s="1732" t="s">
        <v>1271</v>
      </c>
      <c r="D21" s="1733"/>
      <c r="E21" s="1733"/>
      <c r="F21" s="1647"/>
    </row>
    <row r="22" spans="1:6" ht="15.4" thickBot="1">
      <c r="B22" s="1731" t="s">
        <v>1559</v>
      </c>
      <c r="C22" s="1732" t="s">
        <v>1560</v>
      </c>
      <c r="D22" s="1733"/>
      <c r="E22" s="1733"/>
      <c r="F22" s="1647"/>
    </row>
    <row r="23" spans="1:6" ht="15.4" thickBot="1">
      <c r="B23" s="1731" t="s">
        <v>1561</v>
      </c>
      <c r="C23" s="1732" t="s">
        <v>1562</v>
      </c>
      <c r="D23" s="1733"/>
      <c r="E23" s="1733"/>
      <c r="F23" s="1647"/>
    </row>
    <row r="24" spans="1:6" ht="15.4" thickBot="1">
      <c r="B24" s="1731" t="s">
        <v>1563</v>
      </c>
      <c r="C24" s="1732" t="s">
        <v>1564</v>
      </c>
      <c r="D24" s="1733"/>
      <c r="E24" s="1733"/>
      <c r="F24" s="1647"/>
    </row>
    <row r="25" spans="1:6" ht="15.4" thickBot="1">
      <c r="B25" s="1731" t="s">
        <v>1565</v>
      </c>
      <c r="C25" s="1732" t="s">
        <v>1566</v>
      </c>
      <c r="D25" s="1733"/>
      <c r="E25" s="1733"/>
      <c r="F25" s="1647"/>
    </row>
    <row r="26" spans="1:6" ht="15.4" thickBot="1">
      <c r="B26" s="1731" t="s">
        <v>1567</v>
      </c>
      <c r="C26" s="1732" t="s">
        <v>1274</v>
      </c>
      <c r="D26" s="1733"/>
      <c r="E26" s="1733"/>
      <c r="F26" s="1647"/>
    </row>
    <row r="28" spans="1:6">
      <c r="B28" s="1735" t="s">
        <v>1568</v>
      </c>
    </row>
    <row r="29" spans="1:6" ht="15.4" thickBot="1"/>
    <row r="30" spans="1:6" ht="45.4" thickBot="1">
      <c r="A30" s="1736" t="s">
        <v>1102</v>
      </c>
      <c r="B30" s="1737" t="s">
        <v>1569</v>
      </c>
      <c r="C30" s="1737" t="s">
        <v>1570</v>
      </c>
      <c r="D30" s="1738" t="s">
        <v>1571</v>
      </c>
      <c r="E30" s="1738" t="s">
        <v>1572</v>
      </c>
      <c r="F30" s="1738" t="s">
        <v>1573</v>
      </c>
    </row>
    <row r="31" spans="1:6" ht="43.8" customHeight="1" thickBot="1">
      <c r="A31" s="2093">
        <v>1</v>
      </c>
      <c r="B31" s="2093" t="s">
        <v>1574</v>
      </c>
      <c r="C31" s="2093" t="s">
        <v>1271</v>
      </c>
      <c r="D31" s="1739" t="s">
        <v>1575</v>
      </c>
      <c r="E31" s="1739"/>
      <c r="F31" s="1739" t="s">
        <v>1576</v>
      </c>
    </row>
    <row r="32" spans="1:6" ht="49.8" customHeight="1" thickBot="1">
      <c r="A32" s="2094"/>
      <c r="B32" s="2094"/>
      <c r="C32" s="2094"/>
      <c r="D32" s="1740" t="s">
        <v>1577</v>
      </c>
      <c r="E32" s="1739"/>
      <c r="F32" s="1739" t="s">
        <v>1576</v>
      </c>
    </row>
    <row r="33" spans="1:6" ht="50.45" customHeight="1" thickBot="1">
      <c r="A33" s="2090">
        <v>2</v>
      </c>
      <c r="B33" s="2090" t="s">
        <v>1578</v>
      </c>
      <c r="C33" s="2090" t="s">
        <v>1579</v>
      </c>
      <c r="D33" s="1741" t="s">
        <v>1580</v>
      </c>
      <c r="E33" s="1742"/>
      <c r="F33" s="1743"/>
    </row>
    <row r="34" spans="1:6" ht="50.45" customHeight="1" thickBot="1">
      <c r="A34" s="2091"/>
      <c r="B34" s="2091"/>
      <c r="C34" s="2091"/>
      <c r="D34" s="1744" t="s">
        <v>1581</v>
      </c>
      <c r="E34" s="1739"/>
      <c r="F34" s="1739" t="s">
        <v>1576</v>
      </c>
    </row>
    <row r="35" spans="1:6" ht="73.25" customHeight="1" thickBot="1">
      <c r="A35" s="1745">
        <v>3</v>
      </c>
      <c r="B35" s="1745" t="s">
        <v>1582</v>
      </c>
      <c r="C35" s="1745" t="s">
        <v>1271</v>
      </c>
      <c r="D35" s="1739" t="s">
        <v>1580</v>
      </c>
      <c r="E35" s="1746"/>
      <c r="F35" s="1746"/>
    </row>
    <row r="36" spans="1:6" ht="69.599999999999994" customHeight="1" thickBot="1">
      <c r="A36" s="2090">
        <v>4</v>
      </c>
      <c r="B36" s="2090" t="s">
        <v>1583</v>
      </c>
      <c r="C36" s="2090" t="s">
        <v>1560</v>
      </c>
      <c r="D36" s="1741" t="s">
        <v>1580</v>
      </c>
      <c r="E36" s="1741"/>
      <c r="F36" s="1747" t="s">
        <v>1584</v>
      </c>
    </row>
    <row r="37" spans="1:6" ht="69.599999999999994" customHeight="1" thickBot="1">
      <c r="A37" s="2092"/>
      <c r="B37" s="2092"/>
      <c r="C37" s="2092"/>
      <c r="D37" s="1734" t="s">
        <v>1581</v>
      </c>
      <c r="E37" s="1741"/>
      <c r="F37" s="1741" t="s">
        <v>1584</v>
      </c>
    </row>
    <row r="38" spans="1:6" ht="180.4" thickBot="1">
      <c r="A38" s="1748">
        <v>5</v>
      </c>
      <c r="B38" s="1749" t="s">
        <v>1585</v>
      </c>
      <c r="C38" s="1750" t="s">
        <v>1586</v>
      </c>
      <c r="D38" s="1750" t="s">
        <v>1580</v>
      </c>
      <c r="E38" s="1749"/>
      <c r="F38" s="1749"/>
    </row>
    <row r="39" spans="1:6" ht="60.4" thickBot="1">
      <c r="A39" s="1751">
        <v>6</v>
      </c>
      <c r="B39" s="1752" t="s">
        <v>1587</v>
      </c>
      <c r="C39" s="1734" t="s">
        <v>1586</v>
      </c>
      <c r="D39" s="1734" t="s">
        <v>1580</v>
      </c>
      <c r="E39" s="1752"/>
      <c r="F39" s="1752"/>
    </row>
    <row r="40" spans="1:6" ht="90.4" thickBot="1">
      <c r="A40" s="1740">
        <v>7</v>
      </c>
      <c r="B40" s="1753" t="s">
        <v>1588</v>
      </c>
      <c r="C40" s="1754" t="s">
        <v>1589</v>
      </c>
      <c r="D40" s="1754" t="s">
        <v>1580</v>
      </c>
      <c r="E40" s="1753"/>
      <c r="F40" s="1753"/>
    </row>
    <row r="41" spans="1:6" ht="45.4" thickBot="1">
      <c r="A41" s="1751">
        <v>8</v>
      </c>
      <c r="B41" s="1752" t="s">
        <v>1590</v>
      </c>
      <c r="C41" s="1734" t="s">
        <v>1560</v>
      </c>
      <c r="D41" s="1734" t="s">
        <v>1591</v>
      </c>
      <c r="E41" s="1755" t="s">
        <v>1592</v>
      </c>
      <c r="F41" s="1752"/>
    </row>
    <row r="42" spans="1:6" ht="45.4" thickBot="1">
      <c r="A42" s="1748">
        <v>9</v>
      </c>
      <c r="B42" s="1749" t="s">
        <v>1593</v>
      </c>
      <c r="C42" s="1750" t="s">
        <v>1560</v>
      </c>
      <c r="D42" s="1750" t="s">
        <v>1591</v>
      </c>
      <c r="E42" s="1749"/>
      <c r="F42" s="1749"/>
    </row>
    <row r="43" spans="1:6" ht="90.4" thickBot="1">
      <c r="A43" s="1751">
        <v>10</v>
      </c>
      <c r="B43" s="1752" t="s">
        <v>1594</v>
      </c>
      <c r="C43" s="1734" t="s">
        <v>1560</v>
      </c>
      <c r="D43" s="1734" t="s">
        <v>1591</v>
      </c>
      <c r="E43" s="1734"/>
      <c r="F43" s="1734"/>
    </row>
    <row r="44" spans="1:6" ht="105.4" thickBot="1">
      <c r="A44" s="1740">
        <v>11</v>
      </c>
      <c r="B44" s="1753" t="s">
        <v>1595</v>
      </c>
      <c r="C44" s="1754" t="s">
        <v>1596</v>
      </c>
      <c r="D44" s="1754" t="s">
        <v>1581</v>
      </c>
      <c r="E44" s="1754"/>
      <c r="F44" s="1754"/>
    </row>
    <row r="45" spans="1:6" ht="30">
      <c r="A45" s="2090">
        <v>12</v>
      </c>
      <c r="B45" s="1756" t="s">
        <v>1597</v>
      </c>
      <c r="C45" s="2090" t="s">
        <v>1598</v>
      </c>
      <c r="D45" s="2090" t="s">
        <v>1581</v>
      </c>
      <c r="E45" s="1757"/>
      <c r="F45" s="2085"/>
    </row>
    <row r="46" spans="1:6" ht="60">
      <c r="A46" s="2091"/>
      <c r="B46" s="1756" t="s">
        <v>1599</v>
      </c>
      <c r="C46" s="2091"/>
      <c r="D46" s="2091"/>
      <c r="E46" s="1758"/>
      <c r="F46" s="2086"/>
    </row>
    <row r="47" spans="1:6" ht="45">
      <c r="A47" s="2091"/>
      <c r="B47" s="1756" t="s">
        <v>1600</v>
      </c>
      <c r="C47" s="2091"/>
      <c r="D47" s="2091"/>
      <c r="E47" s="1758"/>
      <c r="F47" s="2086"/>
    </row>
    <row r="48" spans="1:6" ht="45">
      <c r="A48" s="2091"/>
      <c r="B48" s="1756" t="s">
        <v>1601</v>
      </c>
      <c r="C48" s="2091"/>
      <c r="D48" s="2091"/>
      <c r="E48" s="1758"/>
      <c r="F48" s="2086"/>
    </row>
    <row r="49" spans="1:6" ht="60.4" thickBot="1">
      <c r="A49" s="2092"/>
      <c r="B49" s="1752" t="s">
        <v>1602</v>
      </c>
      <c r="C49" s="2092"/>
      <c r="D49" s="2092"/>
      <c r="E49" s="1759"/>
      <c r="F49" s="2087"/>
    </row>
    <row r="50" spans="1:6" ht="75.400000000000006" thickBot="1">
      <c r="A50" s="1748">
        <v>13</v>
      </c>
      <c r="B50" s="1749" t="s">
        <v>1603</v>
      </c>
      <c r="C50" s="1750" t="s">
        <v>1560</v>
      </c>
      <c r="D50" s="1750" t="s">
        <v>1581</v>
      </c>
      <c r="E50" s="1760">
        <v>0.04</v>
      </c>
      <c r="F50" s="1749"/>
    </row>
    <row r="51" spans="1:6" ht="75.400000000000006" thickBot="1">
      <c r="A51" s="1751">
        <v>14</v>
      </c>
      <c r="B51" s="1752" t="s">
        <v>1604</v>
      </c>
      <c r="C51" s="1734" t="s">
        <v>1274</v>
      </c>
      <c r="D51" s="1734" t="s">
        <v>1581</v>
      </c>
      <c r="E51" s="1734"/>
      <c r="F51" s="1734"/>
    </row>
    <row r="52" spans="1:6" ht="30">
      <c r="A52" s="2088">
        <v>15</v>
      </c>
      <c r="B52" s="1761" t="s">
        <v>1605</v>
      </c>
      <c r="C52" s="2088" t="s">
        <v>1606</v>
      </c>
      <c r="D52" s="2088" t="s">
        <v>1607</v>
      </c>
      <c r="E52" s="2088"/>
      <c r="F52" s="2088"/>
    </row>
    <row r="53" spans="1:6" ht="90.4" thickBot="1">
      <c r="A53" s="2089"/>
      <c r="B53" s="1749" t="s">
        <v>1608</v>
      </c>
      <c r="C53" s="2089"/>
      <c r="D53" s="2089"/>
      <c r="E53" s="2089"/>
      <c r="F53" s="2089"/>
    </row>
    <row r="54" spans="1:6" ht="135.4" thickBot="1">
      <c r="A54" s="1751">
        <v>16</v>
      </c>
      <c r="B54" s="1752" t="s">
        <v>1609</v>
      </c>
      <c r="C54" s="1734" t="s">
        <v>1610</v>
      </c>
      <c r="D54" s="1734" t="s">
        <v>1581</v>
      </c>
      <c r="E54" s="1752"/>
      <c r="F54" s="1752"/>
    </row>
    <row r="55" spans="1:6" ht="30.4" thickBot="1">
      <c r="A55" s="1748">
        <v>17</v>
      </c>
      <c r="B55" s="1749" t="s">
        <v>1611</v>
      </c>
      <c r="C55" s="1750" t="s">
        <v>1566</v>
      </c>
      <c r="D55" s="1750" t="s">
        <v>1591</v>
      </c>
      <c r="E55" s="1749"/>
      <c r="F55" s="1749"/>
    </row>
    <row r="56" spans="1:6" ht="75.400000000000006" thickBot="1">
      <c r="A56" s="1751">
        <v>18</v>
      </c>
      <c r="B56" s="1752" t="s">
        <v>1612</v>
      </c>
      <c r="C56" s="1734" t="s">
        <v>1274</v>
      </c>
      <c r="D56" s="1734" t="s">
        <v>1581</v>
      </c>
      <c r="E56" s="1752"/>
      <c r="F56" s="1752"/>
    </row>
    <row r="57" spans="1:6" ht="60.4" thickBot="1">
      <c r="A57" s="1740">
        <v>19</v>
      </c>
      <c r="B57" s="1753" t="s">
        <v>1613</v>
      </c>
      <c r="C57" s="1754"/>
      <c r="D57" s="1754" t="s">
        <v>1581</v>
      </c>
      <c r="E57" s="1753"/>
      <c r="F57" s="1753"/>
    </row>
  </sheetData>
  <mergeCells count="24">
    <mergeCell ref="B18:F18"/>
    <mergeCell ref="B3:D4"/>
    <mergeCell ref="B5:D5"/>
    <mergeCell ref="B6:D7"/>
    <mergeCell ref="B11:F11"/>
    <mergeCell ref="B15:F15"/>
    <mergeCell ref="A31:A32"/>
    <mergeCell ref="B31:B32"/>
    <mergeCell ref="C31:C32"/>
    <mergeCell ref="A33:A34"/>
    <mergeCell ref="B33:B34"/>
    <mergeCell ref="C33:C34"/>
    <mergeCell ref="A36:A37"/>
    <mergeCell ref="B36:B37"/>
    <mergeCell ref="C36:C37"/>
    <mergeCell ref="A45:A49"/>
    <mergeCell ref="C45:C49"/>
    <mergeCell ref="F45:F49"/>
    <mergeCell ref="A52:A53"/>
    <mergeCell ref="C52:C53"/>
    <mergeCell ref="D52:D53"/>
    <mergeCell ref="E52:E53"/>
    <mergeCell ref="F52:F53"/>
    <mergeCell ref="D45:D49"/>
  </mergeCells>
  <hyperlinks>
    <hyperlink ref="F36" location="Nota!A1" display="k-02" xr:uid="{D2FEB044-CB4E-45CF-BA92-5707C947AA1B}"/>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6">
    <tabColor theme="3" tint="0.39997558519241921"/>
  </sheetPr>
  <dimension ref="A1:J51"/>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7" width="11.46484375" style="1"/>
    <col min="8" max="8" width="39.33203125" style="1" bestFit="1" customWidth="1"/>
    <col min="9" max="16384" width="11.46484375" style="1"/>
  </cols>
  <sheetData>
    <row r="1" spans="1:10" ht="14.25">
      <c r="A1" t="s">
        <v>404</v>
      </c>
      <c r="E1" s="56" t="s">
        <v>611</v>
      </c>
    </row>
    <row r="3" spans="1:10" ht="15" customHeight="1">
      <c r="I3" s="628"/>
      <c r="J3" s="628"/>
    </row>
    <row r="4" spans="1:10" ht="18" customHeight="1">
      <c r="B4" s="1315"/>
      <c r="C4" s="1219" t="s">
        <v>243</v>
      </c>
      <c r="D4" s="1308" t="s">
        <v>244</v>
      </c>
      <c r="I4" s="628"/>
      <c r="J4" s="628"/>
    </row>
    <row r="5" spans="1:10">
      <c r="B5" s="1399" t="s">
        <v>553</v>
      </c>
      <c r="C5" s="1269">
        <f>+Datos!D6</f>
        <v>45657</v>
      </c>
      <c r="D5" s="1317">
        <f>+Datos!E8</f>
        <v>45291</v>
      </c>
      <c r="I5" s="628"/>
      <c r="J5" s="628"/>
    </row>
    <row r="6" spans="1:10">
      <c r="B6" s="1318"/>
      <c r="C6" s="1221" t="s">
        <v>20</v>
      </c>
      <c r="D6" s="1277" t="s">
        <v>20</v>
      </c>
      <c r="I6" s="628"/>
      <c r="J6" s="628"/>
    </row>
    <row r="7" spans="1:10">
      <c r="B7" s="19" t="s">
        <v>554</v>
      </c>
      <c r="C7" s="152"/>
      <c r="D7" s="152"/>
      <c r="I7" s="628"/>
      <c r="J7" s="628"/>
    </row>
    <row r="8" spans="1:10">
      <c r="B8" s="19" t="s">
        <v>900</v>
      </c>
      <c r="C8" s="188"/>
      <c r="D8" s="188"/>
      <c r="I8" s="628"/>
      <c r="J8" s="628"/>
    </row>
    <row r="9" spans="1:10">
      <c r="B9" s="19" t="s">
        <v>903</v>
      </c>
      <c r="C9" s="634"/>
      <c r="D9" s="634"/>
      <c r="I9" s="628"/>
      <c r="J9" s="628"/>
    </row>
    <row r="10" spans="1:10" ht="13.5" thickBot="1">
      <c r="B10" s="130" t="s">
        <v>557</v>
      </c>
      <c r="C10" s="635"/>
      <c r="D10" s="635"/>
      <c r="I10" s="628"/>
      <c r="J10" s="628"/>
    </row>
    <row r="11" spans="1:10">
      <c r="B11" s="19" t="s">
        <v>898</v>
      </c>
      <c r="C11" s="634"/>
      <c r="D11" s="634"/>
      <c r="H11" s="646"/>
      <c r="I11" s="628"/>
      <c r="J11" s="647"/>
    </row>
    <row r="12" spans="1:10" ht="13.5" thickBot="1">
      <c r="B12" s="19" t="s">
        <v>899</v>
      </c>
      <c r="C12" s="634"/>
      <c r="D12" s="634"/>
      <c r="H12" s="602"/>
      <c r="I12" s="628"/>
      <c r="J12" s="648"/>
    </row>
    <row r="13" spans="1:10">
      <c r="C13" s="188"/>
      <c r="D13" s="188"/>
      <c r="I13" s="628"/>
      <c r="J13" s="628"/>
    </row>
    <row r="14" spans="1:10">
      <c r="B14" s="19" t="s">
        <v>561</v>
      </c>
      <c r="C14" s="634"/>
      <c r="D14" s="634"/>
      <c r="I14" s="628"/>
      <c r="J14" s="628"/>
    </row>
    <row r="15" spans="1:10" ht="13.5" thickBot="1">
      <c r="C15" s="188"/>
      <c r="D15" s="188"/>
      <c r="I15" s="628"/>
      <c r="J15" s="628"/>
    </row>
    <row r="16" spans="1:10">
      <c r="C16" s="188"/>
      <c r="D16" s="188"/>
      <c r="H16" s="646"/>
      <c r="I16" s="628"/>
      <c r="J16" s="647"/>
    </row>
    <row r="17" spans="2:10">
      <c r="C17" s="188"/>
      <c r="D17" s="188"/>
      <c r="H17" s="587"/>
      <c r="I17" s="628"/>
      <c r="J17" s="588"/>
    </row>
    <row r="18" spans="2:10">
      <c r="B18" s="191"/>
      <c r="C18" s="188"/>
      <c r="D18" s="188"/>
      <c r="H18" s="587"/>
      <c r="I18" s="628"/>
      <c r="J18" s="588"/>
    </row>
    <row r="19" spans="2:10" ht="13.5" thickBot="1">
      <c r="B19" s="1319" t="s">
        <v>189</v>
      </c>
      <c r="C19" s="1395">
        <f>+SUM(C7:C18)</f>
        <v>0</v>
      </c>
      <c r="D19" s="1400">
        <f>+SUM(D7:D18)</f>
        <v>0</v>
      </c>
      <c r="H19" s="602"/>
      <c r="I19" s="628"/>
      <c r="J19" s="648"/>
    </row>
    <row r="20" spans="2:10">
      <c r="I20" s="628"/>
      <c r="J20" s="628"/>
    </row>
    <row r="21" spans="2:10">
      <c r="B21" s="24" t="s">
        <v>289</v>
      </c>
      <c r="C21" s="15">
        <f>+C19-'E°R° Natural SVS '!D14</f>
        <v>0</v>
      </c>
      <c r="D21" s="17">
        <f>+D19-'E°R° Natural SVS '!E14</f>
        <v>0</v>
      </c>
      <c r="I21" s="628"/>
      <c r="J21" s="628"/>
    </row>
    <row r="22" spans="2:10">
      <c r="I22" s="628"/>
      <c r="J22" s="628"/>
    </row>
    <row r="23" spans="2:10">
      <c r="I23" s="628"/>
      <c r="J23" s="628"/>
    </row>
    <row r="24" spans="2:10" ht="14.25" customHeight="1">
      <c r="B24" s="2419" t="s">
        <v>613</v>
      </c>
      <c r="C24" s="1219" t="s">
        <v>243</v>
      </c>
      <c r="D24" s="1308" t="s">
        <v>244</v>
      </c>
      <c r="I24" s="628"/>
      <c r="J24" s="628"/>
    </row>
    <row r="25" spans="2:10">
      <c r="B25" s="2420"/>
      <c r="C25" s="1269">
        <f>+Datos!D6</f>
        <v>45657</v>
      </c>
      <c r="D25" s="1317">
        <f>+D5</f>
        <v>45291</v>
      </c>
      <c r="I25" s="628"/>
      <c r="J25" s="628"/>
    </row>
    <row r="26" spans="2:10">
      <c r="B26" s="2421"/>
      <c r="C26" s="1221" t="s">
        <v>20</v>
      </c>
      <c r="D26" s="1277" t="s">
        <v>20</v>
      </c>
      <c r="I26" s="628"/>
      <c r="J26" s="628"/>
    </row>
    <row r="27" spans="2:10">
      <c r="B27" s="19" t="s">
        <v>902</v>
      </c>
      <c r="C27" s="315"/>
      <c r="D27" s="315"/>
      <c r="G27" s="616"/>
      <c r="H27" s="616"/>
      <c r="I27" s="633"/>
      <c r="J27" s="616"/>
    </row>
    <row r="28" spans="2:10">
      <c r="B28" s="19" t="s">
        <v>406</v>
      </c>
      <c r="C28" s="315"/>
      <c r="D28" s="315"/>
      <c r="G28" s="616"/>
      <c r="H28" s="616"/>
      <c r="I28" s="633"/>
      <c r="J28" s="616"/>
    </row>
    <row r="29" spans="2:10">
      <c r="B29" s="130" t="s">
        <v>407</v>
      </c>
      <c r="C29" s="438"/>
      <c r="D29" s="438"/>
      <c r="G29" s="616"/>
      <c r="H29" s="616"/>
      <c r="I29" s="633"/>
      <c r="J29" s="616"/>
    </row>
    <row r="30" spans="2:10">
      <c r="B30" s="19" t="s">
        <v>408</v>
      </c>
      <c r="C30" s="315"/>
      <c r="D30" s="315"/>
      <c r="I30" s="628"/>
      <c r="J30" s="628"/>
    </row>
    <row r="31" spans="2:10">
      <c r="B31" s="19" t="s">
        <v>410</v>
      </c>
      <c r="C31" s="315"/>
      <c r="D31" s="315"/>
      <c r="I31" s="628"/>
      <c r="J31" s="628"/>
    </row>
    <row r="32" spans="2:10">
      <c r="B32" s="19" t="s">
        <v>411</v>
      </c>
      <c r="C32" s="315"/>
      <c r="D32" s="315"/>
      <c r="G32" s="616"/>
      <c r="H32" s="616"/>
      <c r="I32" s="633"/>
      <c r="J32" s="616"/>
    </row>
    <row r="33" spans="2:10">
      <c r="B33" s="19" t="s">
        <v>409</v>
      </c>
      <c r="C33" s="315"/>
      <c r="D33" s="315"/>
      <c r="I33" s="628"/>
      <c r="J33" s="628"/>
    </row>
    <row r="34" spans="2:10">
      <c r="B34" s="191" t="s">
        <v>901</v>
      </c>
      <c r="C34" s="315"/>
      <c r="D34" s="315"/>
      <c r="I34" s="628"/>
      <c r="J34" s="628"/>
    </row>
    <row r="35" spans="2:10">
      <c r="B35" s="191" t="s">
        <v>103</v>
      </c>
      <c r="C35" s="315"/>
      <c r="D35" s="315"/>
      <c r="I35" s="628"/>
      <c r="J35" s="628"/>
    </row>
    <row r="36" spans="2:10">
      <c r="B36" s="1319" t="s">
        <v>189</v>
      </c>
      <c r="C36" s="1259">
        <f>+SUM(C27:C35)</f>
        <v>0</v>
      </c>
      <c r="D36" s="1259">
        <f>+SUM(D27:D35)</f>
        <v>0</v>
      </c>
      <c r="I36" s="628"/>
      <c r="J36" s="628"/>
    </row>
    <row r="37" spans="2:10">
      <c r="I37" s="628"/>
      <c r="J37" s="628"/>
    </row>
    <row r="38" spans="2:10">
      <c r="I38" s="628"/>
      <c r="J38" s="628"/>
    </row>
    <row r="39" spans="2:10">
      <c r="I39" s="628"/>
      <c r="J39" s="628"/>
    </row>
    <row r="40" spans="2:10">
      <c r="I40" s="628"/>
      <c r="J40" s="628"/>
    </row>
    <row r="41" spans="2:10">
      <c r="I41" s="628"/>
      <c r="J41" s="628"/>
    </row>
    <row r="42" spans="2:10">
      <c r="I42" s="628"/>
      <c r="J42" s="628"/>
    </row>
    <row r="43" spans="2:10">
      <c r="I43" s="628"/>
      <c r="J43" s="628"/>
    </row>
    <row r="44" spans="2:10">
      <c r="I44" s="628"/>
      <c r="J44" s="628"/>
    </row>
    <row r="45" spans="2:10">
      <c r="I45" s="628"/>
      <c r="J45" s="628"/>
    </row>
    <row r="46" spans="2:10" ht="13.5" thickBot="1">
      <c r="I46" s="628"/>
      <c r="J46" s="628"/>
    </row>
    <row r="47" spans="2:10" ht="13.5" thickBot="1">
      <c r="H47" s="589"/>
      <c r="I47" s="628"/>
      <c r="J47" s="569"/>
    </row>
    <row r="48" spans="2:10" ht="13.5" thickBot="1">
      <c r="H48" s="589"/>
      <c r="I48" s="628"/>
      <c r="J48" s="569"/>
    </row>
    <row r="49" spans="7:10">
      <c r="G49" s="616"/>
      <c r="H49" s="616"/>
      <c r="I49" s="633"/>
      <c r="J49" s="616"/>
    </row>
    <row r="50" spans="7:10">
      <c r="I50" s="628"/>
      <c r="J50" s="628"/>
    </row>
    <row r="51" spans="7:10">
      <c r="I51" s="628"/>
    </row>
  </sheetData>
  <sheetProtection algorithmName="SHA-512" hashValue="np3VKZdgy1/+IrPXL0ObdpSifoCEKjAKtXDcrc423fo+ze4+MU2mEfJ7MpQqMiNTjBvwvnwDysKlxKzHAiMWcQ==" saltValue="KF0NLhMgle765qdBe6VT3Q==" spinCount="100000" sheet="1" objects="1" scenarios="1"/>
  <mergeCells count="1">
    <mergeCell ref="B24:B26"/>
  </mergeCells>
  <hyperlinks>
    <hyperlink ref="E1" location="'E°R° Natural SVS '!A1" display="Volver ER SVS" xr:uid="{00000000-0004-0000-3900-000000000000}"/>
  </hyperlink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7">
    <tabColor theme="3" tint="0.39997558519241921"/>
  </sheetPr>
  <dimension ref="A1:I22"/>
  <sheetViews>
    <sheetView showGridLines="0" workbookViewId="0">
      <selection activeCell="G17" sqref="G17"/>
    </sheetView>
  </sheetViews>
  <sheetFormatPr baseColWidth="10" defaultColWidth="11.46484375" defaultRowHeight="11.65"/>
  <cols>
    <col min="1" max="1" width="11.46484375" style="28"/>
    <col min="2" max="2" width="29.46484375" style="28" bestFit="1" customWidth="1"/>
    <col min="3" max="4" width="13.53125" style="28" customWidth="1"/>
    <col min="5" max="5" width="11.46484375" style="28"/>
    <col min="6" max="6" width="30.86328125" style="28" bestFit="1" customWidth="1"/>
    <col min="7" max="7" width="32.46484375" style="28" bestFit="1" customWidth="1"/>
    <col min="8" max="8" width="11.46484375" style="28"/>
    <col min="9" max="9" width="11.46484375" style="636"/>
    <col min="10" max="16384" width="11.46484375" style="28"/>
  </cols>
  <sheetData>
    <row r="1" spans="1:9" ht="14.25">
      <c r="A1" t="s">
        <v>628</v>
      </c>
      <c r="B1" s="19"/>
      <c r="C1" s="1"/>
      <c r="D1" s="1"/>
      <c r="E1" s="56" t="s">
        <v>611</v>
      </c>
      <c r="F1" s="1"/>
    </row>
    <row r="2" spans="1:9" ht="14.25">
      <c r="A2"/>
      <c r="B2" s="19"/>
      <c r="C2" s="1"/>
      <c r="D2" s="1"/>
      <c r="E2" s="56"/>
      <c r="F2" s="1"/>
    </row>
    <row r="3" spans="1:9" ht="14.25">
      <c r="A3"/>
      <c r="B3" s="19"/>
      <c r="C3" s="1"/>
      <c r="D3" s="1"/>
      <c r="E3" s="56"/>
      <c r="F3" s="1"/>
    </row>
    <row r="4" spans="1:9" ht="13.15">
      <c r="B4" s="1315"/>
      <c r="C4" s="1219" t="s">
        <v>243</v>
      </c>
      <c r="D4" s="1308" t="s">
        <v>244</v>
      </c>
    </row>
    <row r="5" spans="1:9" ht="13.15">
      <c r="B5" s="1399" t="s">
        <v>553</v>
      </c>
      <c r="C5" s="1269">
        <f>+Datos!D8</f>
        <v>45657</v>
      </c>
      <c r="D5" s="1317">
        <f>+Datos!E8</f>
        <v>45291</v>
      </c>
      <c r="H5" s="650"/>
    </row>
    <row r="6" spans="1:9" ht="13.15">
      <c r="B6" s="1318"/>
      <c r="C6" s="1221" t="s">
        <v>20</v>
      </c>
      <c r="D6" s="1277" t="s">
        <v>20</v>
      </c>
      <c r="F6" s="638"/>
      <c r="G6" s="638"/>
      <c r="H6" s="652"/>
      <c r="I6" s="653"/>
    </row>
    <row r="7" spans="1:9">
      <c r="B7" s="28" t="s">
        <v>912</v>
      </c>
      <c r="C7" s="339"/>
      <c r="D7" s="339"/>
      <c r="F7" s="638"/>
      <c r="G7" s="638"/>
      <c r="H7" s="652"/>
      <c r="I7" s="653"/>
    </row>
    <row r="8" spans="1:9">
      <c r="B8" s="28" t="s">
        <v>913</v>
      </c>
      <c r="C8" s="339"/>
      <c r="D8" s="339"/>
      <c r="F8" s="638"/>
      <c r="G8" s="638"/>
      <c r="H8" s="652"/>
      <c r="I8" s="653"/>
    </row>
    <row r="9" spans="1:9">
      <c r="B9" s="28" t="s">
        <v>914</v>
      </c>
      <c r="C9" s="339"/>
      <c r="D9" s="339"/>
      <c r="F9" s="638"/>
      <c r="G9" s="638"/>
      <c r="H9" s="652"/>
      <c r="I9" s="653"/>
    </row>
    <row r="10" spans="1:9">
      <c r="B10" s="28" t="s">
        <v>915</v>
      </c>
      <c r="C10" s="339"/>
      <c r="D10" s="339"/>
      <c r="F10" s="638"/>
      <c r="G10" s="638"/>
      <c r="H10" s="652"/>
      <c r="I10" s="653"/>
    </row>
    <row r="11" spans="1:9">
      <c r="B11" s="28" t="s">
        <v>916</v>
      </c>
      <c r="C11" s="339"/>
      <c r="D11" s="339"/>
      <c r="F11" s="638"/>
      <c r="G11" s="638"/>
      <c r="H11" s="652"/>
      <c r="I11" s="653"/>
    </row>
    <row r="12" spans="1:9">
      <c r="B12" s="28" t="s">
        <v>908</v>
      </c>
      <c r="C12" s="339"/>
      <c r="D12" s="339"/>
      <c r="F12" s="638"/>
      <c r="G12" s="638"/>
      <c r="H12" s="652"/>
      <c r="I12" s="653"/>
    </row>
    <row r="13" spans="1:9">
      <c r="B13" s="28" t="s">
        <v>689</v>
      </c>
      <c r="C13" s="339"/>
      <c r="D13" s="339"/>
      <c r="F13" s="638"/>
      <c r="G13" s="638"/>
      <c r="H13" s="652"/>
      <c r="I13" s="653"/>
    </row>
    <row r="14" spans="1:9">
      <c r="B14" s="28" t="s">
        <v>909</v>
      </c>
      <c r="C14" s="339"/>
      <c r="D14" s="339"/>
      <c r="H14" s="650"/>
    </row>
    <row r="15" spans="1:9">
      <c r="B15" s="28" t="s">
        <v>625</v>
      </c>
      <c r="C15" s="339"/>
      <c r="D15" s="339"/>
      <c r="H15" s="651"/>
      <c r="I15" s="637"/>
    </row>
    <row r="16" spans="1:9">
      <c r="B16" s="28" t="s">
        <v>626</v>
      </c>
      <c r="C16" s="339"/>
      <c r="D16" s="339"/>
    </row>
    <row r="17" spans="2:4">
      <c r="B17" s="28" t="s">
        <v>627</v>
      </c>
      <c r="C17" s="339"/>
      <c r="D17" s="339"/>
    </row>
    <row r="18" spans="2:4">
      <c r="B18" s="92" t="s">
        <v>375</v>
      </c>
      <c r="C18" s="339"/>
      <c r="D18" s="339"/>
    </row>
    <row r="19" spans="2:4">
      <c r="B19" s="92" t="s">
        <v>375</v>
      </c>
      <c r="C19" s="339"/>
      <c r="D19" s="339"/>
    </row>
    <row r="20" spans="2:4" ht="13.15">
      <c r="B20" s="1319" t="s">
        <v>189</v>
      </c>
      <c r="C20" s="1224">
        <f>+SUM(C7:C19)</f>
        <v>0</v>
      </c>
      <c r="D20" s="1400">
        <f>+SUM(D7:D19)</f>
        <v>0</v>
      </c>
    </row>
    <row r="21" spans="2:4">
      <c r="D21" s="636"/>
    </row>
    <row r="22" spans="2:4" ht="13.15">
      <c r="B22" s="24" t="s">
        <v>289</v>
      </c>
      <c r="C22" s="15">
        <f>+C20-'E°R° Natural SVS '!D15</f>
        <v>0</v>
      </c>
      <c r="D22" s="639">
        <f>+D20-'E°R° Natural SVS '!E15</f>
        <v>0</v>
      </c>
    </row>
  </sheetData>
  <sheetProtection algorithmName="SHA-512" hashValue="epi29Ueo70YpBHWzGh0naAxZ+SiQjUCmMOmAjsEKEWEhls1JWeWQ1D07sHXN+7dtQvFUWVZ/1RWyqJwXaNYLwQ==" saltValue="fWmfgFbCwSSmrT2Z2dA6Ew==" spinCount="100000" sheet="1" objects="1" scenarios="1"/>
  <hyperlinks>
    <hyperlink ref="E1" location="'E°R° Natural SVS '!A1" display="Volver ER SVS" xr:uid="{00000000-0004-0000-3A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65"/>
  <dimension ref="A1:H19"/>
  <sheetViews>
    <sheetView showGridLines="0" workbookViewId="0">
      <selection activeCell="G17" sqref="G17"/>
    </sheetView>
  </sheetViews>
  <sheetFormatPr baseColWidth="10" defaultRowHeight="14.25"/>
  <cols>
    <col min="2" max="2" width="38.796875" customWidth="1"/>
    <col min="3" max="4" width="16.796875" customWidth="1"/>
    <col min="6" max="6" width="37.6640625" bestFit="1" customWidth="1"/>
  </cols>
  <sheetData>
    <row r="1" spans="1:8">
      <c r="A1" s="28"/>
      <c r="B1" s="28"/>
      <c r="C1" s="28"/>
      <c r="D1" s="56" t="s">
        <v>611</v>
      </c>
      <c r="E1" s="28"/>
    </row>
    <row r="2" spans="1:8">
      <c r="A2" s="34" t="s">
        <v>593</v>
      </c>
      <c r="B2" s="28"/>
      <c r="C2" s="28"/>
      <c r="D2" s="28"/>
      <c r="E2" s="28"/>
    </row>
    <row r="3" spans="1:8">
      <c r="A3" s="28"/>
      <c r="B3" s="28"/>
      <c r="C3" s="28"/>
      <c r="D3" s="28"/>
      <c r="E3" s="28"/>
    </row>
    <row r="4" spans="1:8">
      <c r="A4" s="28"/>
      <c r="B4" s="1401"/>
      <c r="C4" s="1219" t="s">
        <v>243</v>
      </c>
      <c r="D4" s="1308" t="s">
        <v>244</v>
      </c>
      <c r="E4" s="28"/>
    </row>
    <row r="5" spans="1:8">
      <c r="A5" s="28"/>
      <c r="B5" s="1321" t="s">
        <v>416</v>
      </c>
      <c r="C5" s="1269">
        <f>+Datos!D8</f>
        <v>45657</v>
      </c>
      <c r="D5" s="1317">
        <f>+Datos!E8</f>
        <v>45291</v>
      </c>
      <c r="E5" s="28"/>
      <c r="G5" s="626"/>
      <c r="H5" s="626"/>
    </row>
    <row r="6" spans="1:8">
      <c r="A6" s="28"/>
      <c r="B6" s="1283"/>
      <c r="C6" s="1221" t="s">
        <v>20</v>
      </c>
      <c r="D6" s="1277" t="s">
        <v>20</v>
      </c>
      <c r="E6" s="28"/>
      <c r="G6" s="626"/>
      <c r="H6" s="626"/>
    </row>
    <row r="7" spans="1:8">
      <c r="A7" s="28"/>
      <c r="B7" s="28" t="s">
        <v>592</v>
      </c>
      <c r="C7" s="640">
        <f>+G5+G8</f>
        <v>0</v>
      </c>
      <c r="D7" s="640">
        <f>+H5+H8</f>
        <v>0</v>
      </c>
      <c r="E7" s="28"/>
      <c r="G7" s="626"/>
      <c r="H7" s="626"/>
    </row>
    <row r="8" spans="1:8">
      <c r="A8" s="28"/>
      <c r="B8" s="28" t="s">
        <v>904</v>
      </c>
      <c r="C8" s="640">
        <f>+G7</f>
        <v>0</v>
      </c>
      <c r="D8" s="640">
        <f>+H7</f>
        <v>0</v>
      </c>
      <c r="E8" s="28"/>
      <c r="G8" s="626"/>
      <c r="H8" s="626"/>
    </row>
    <row r="9" spans="1:8">
      <c r="A9" s="28"/>
      <c r="B9" s="92" t="s">
        <v>905</v>
      </c>
      <c r="C9" s="640">
        <f>+G6</f>
        <v>0</v>
      </c>
      <c r="D9" s="640">
        <f>+H6</f>
        <v>0</v>
      </c>
      <c r="E9" s="28"/>
      <c r="G9" s="626"/>
      <c r="H9" s="632"/>
    </row>
    <row r="10" spans="1:8">
      <c r="A10" s="28"/>
      <c r="B10" s="92" t="s">
        <v>759</v>
      </c>
      <c r="C10" s="339"/>
      <c r="D10" s="640"/>
      <c r="E10" s="28"/>
    </row>
    <row r="11" spans="1:8">
      <c r="A11" s="28"/>
      <c r="B11" s="1242" t="s">
        <v>189</v>
      </c>
      <c r="C11" s="1224">
        <f>+SUM(C7:C10)</f>
        <v>0</v>
      </c>
      <c r="D11" s="1395">
        <f>+SUM(D7:D10)</f>
        <v>0</v>
      </c>
      <c r="E11" s="28"/>
    </row>
    <row r="12" spans="1:8">
      <c r="A12" s="28"/>
      <c r="B12" s="1"/>
      <c r="C12" s="1"/>
      <c r="D12" s="641"/>
      <c r="E12" s="28"/>
    </row>
    <row r="13" spans="1:8">
      <c r="A13" s="28"/>
      <c r="B13" s="52" t="s">
        <v>201</v>
      </c>
      <c r="C13" s="15">
        <f>+C11-'E°R° Natural SVS '!D17</f>
        <v>0</v>
      </c>
      <c r="D13" s="639">
        <f>+D11-'E°R° Natural SVS '!E17</f>
        <v>0</v>
      </c>
      <c r="E13" s="28"/>
    </row>
    <row r="14" spans="1:8">
      <c r="A14" s="28"/>
      <c r="B14" s="28"/>
      <c r="C14" s="28"/>
      <c r="D14" s="28"/>
      <c r="E14" s="28"/>
    </row>
    <row r="15" spans="1:8">
      <c r="A15" s="28"/>
      <c r="B15" s="28"/>
      <c r="C15" s="28"/>
      <c r="D15" s="28"/>
      <c r="E15" s="28"/>
    </row>
    <row r="16" spans="1:8">
      <c r="A16" s="28"/>
      <c r="B16" s="28"/>
      <c r="C16" s="28"/>
      <c r="D16" s="28"/>
      <c r="E16" s="28"/>
    </row>
    <row r="17" spans="1:5">
      <c r="A17" s="28"/>
      <c r="B17" s="28"/>
      <c r="C17" s="28"/>
      <c r="D17" s="28"/>
      <c r="E17" s="28"/>
    </row>
    <row r="18" spans="1:5">
      <c r="A18" s="28"/>
      <c r="B18" s="28"/>
      <c r="C18" s="28"/>
      <c r="D18" s="28"/>
      <c r="E18" s="28"/>
    </row>
    <row r="19" spans="1:5">
      <c r="A19" s="28"/>
      <c r="B19" s="28"/>
      <c r="C19" s="28"/>
      <c r="D19" s="28"/>
      <c r="E19" s="28"/>
    </row>
  </sheetData>
  <sheetProtection algorithmName="SHA-512" hashValue="ZgeKxe2Egav6JIRd2tXNMdOezfkZuiJJ7gMFKguTKdz9YXBozMcoR1fY7xUWAPmv1jwbX3n/PmTVC67OrNU/6g==" saltValue="icqJf17UsMI6HOrvRuXpjQ==" spinCount="100000" sheet="1" objects="1" scenarios="1"/>
  <hyperlinks>
    <hyperlink ref="D1" location="'E°R° Natural SVS '!A1" display="Volver ER SVS" xr:uid="{00000000-0004-0000-3B00-000000000000}"/>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59">
    <tabColor theme="4" tint="-0.249977111117893"/>
  </sheetPr>
  <dimension ref="C4:I26"/>
  <sheetViews>
    <sheetView showGridLines="0" workbookViewId="0">
      <selection activeCell="G17" sqref="G17"/>
    </sheetView>
  </sheetViews>
  <sheetFormatPr baseColWidth="10" defaultColWidth="11.46484375" defaultRowHeight="13.15"/>
  <cols>
    <col min="1" max="1" width="11.46484375" style="1"/>
    <col min="2" max="2" width="7.53125" style="1" customWidth="1"/>
    <col min="3" max="3" width="39.19921875" style="1" customWidth="1"/>
    <col min="4" max="16384" width="11.46484375" style="1"/>
  </cols>
  <sheetData>
    <row r="4" spans="3:9" ht="13.5" thickBot="1">
      <c r="C4" s="1295"/>
      <c r="D4" s="2422">
        <f>+Datos!D6</f>
        <v>45657</v>
      </c>
      <c r="E4" s="2423"/>
      <c r="F4" s="2423"/>
      <c r="G4" s="2423"/>
      <c r="H4" s="2424"/>
    </row>
    <row r="5" spans="3:9" ht="26.65" thickBot="1">
      <c r="C5" s="1402"/>
      <c r="D5" s="1403" t="s">
        <v>657</v>
      </c>
      <c r="E5" s="1403" t="s">
        <v>658</v>
      </c>
      <c r="F5" s="1403" t="s">
        <v>659</v>
      </c>
      <c r="G5" s="1403" t="s">
        <v>660</v>
      </c>
      <c r="H5" s="1404" t="s">
        <v>661</v>
      </c>
      <c r="I5" s="279" t="s">
        <v>289</v>
      </c>
    </row>
    <row r="6" spans="3:9">
      <c r="C6" s="270"/>
      <c r="D6" s="271"/>
      <c r="E6" s="271"/>
      <c r="F6" s="271"/>
      <c r="G6" s="271"/>
      <c r="H6" s="272"/>
    </row>
    <row r="7" spans="3:9">
      <c r="C7" s="269" t="s">
        <v>662</v>
      </c>
      <c r="D7" s="439"/>
      <c r="E7" s="440"/>
      <c r="F7" s="439"/>
      <c r="G7" s="440"/>
      <c r="H7" s="439"/>
    </row>
    <row r="8" spans="3:9">
      <c r="C8" s="273" t="s">
        <v>12</v>
      </c>
      <c r="D8" s="441"/>
      <c r="E8" s="442"/>
      <c r="F8" s="441"/>
      <c r="G8" s="442"/>
      <c r="H8" s="441"/>
      <c r="I8" s="1">
        <f>+SUM(D8:H8)-'Est Situacion'!G9</f>
        <v>0</v>
      </c>
    </row>
    <row r="9" spans="3:9">
      <c r="C9" s="273" t="s">
        <v>112</v>
      </c>
      <c r="D9" s="441"/>
      <c r="E9" s="442"/>
      <c r="F9" s="441"/>
      <c r="G9" s="442"/>
      <c r="H9" s="441"/>
      <c r="I9" s="1">
        <f>+SUM(D9:H9)-'Est Situacion'!G10</f>
        <v>0</v>
      </c>
    </row>
    <row r="10" spans="3:9">
      <c r="C10" s="273" t="s">
        <v>663</v>
      </c>
      <c r="D10" s="441"/>
      <c r="E10" s="442"/>
      <c r="F10" s="441"/>
      <c r="G10" s="442"/>
      <c r="H10" s="441"/>
      <c r="I10" s="1">
        <f>+SUM(D10:H10)-'Est Situacion'!G11</f>
        <v>0</v>
      </c>
    </row>
    <row r="11" spans="3:9">
      <c r="C11" s="273" t="s">
        <v>664</v>
      </c>
      <c r="D11" s="441"/>
      <c r="E11" s="442"/>
      <c r="F11" s="441"/>
      <c r="G11" s="442"/>
      <c r="H11" s="441"/>
      <c r="I11" s="1">
        <f>+SUM(D11:H11)-'Est Situacion'!G12</f>
        <v>0</v>
      </c>
    </row>
    <row r="12" spans="3:9">
      <c r="C12" s="273" t="s">
        <v>665</v>
      </c>
      <c r="D12" s="441"/>
      <c r="E12" s="442"/>
      <c r="F12" s="441"/>
      <c r="G12" s="442"/>
      <c r="H12" s="441"/>
      <c r="I12" s="1">
        <f>+SUM(D12:H12)-'Est Situacion'!G13</f>
        <v>0</v>
      </c>
    </row>
    <row r="13" spans="3:9">
      <c r="C13" s="273" t="s">
        <v>5</v>
      </c>
      <c r="D13" s="441"/>
      <c r="E13" s="442"/>
      <c r="F13" s="441"/>
      <c r="G13" s="442"/>
      <c r="H13" s="441"/>
      <c r="I13" s="1">
        <f>+SUM(D13:H13)-'Est Situacion'!G26</f>
        <v>0</v>
      </c>
    </row>
    <row r="14" spans="3:9">
      <c r="C14" s="273" t="s">
        <v>6</v>
      </c>
      <c r="D14" s="441"/>
      <c r="E14" s="442"/>
      <c r="F14" s="441"/>
      <c r="G14" s="442"/>
      <c r="H14" s="441"/>
      <c r="I14" s="1">
        <f>+SUM(D14:H14)-'Est Situacion'!G28</f>
        <v>0</v>
      </c>
    </row>
    <row r="15" spans="3:9">
      <c r="C15" s="269"/>
      <c r="D15" s="443"/>
      <c r="E15" s="444"/>
      <c r="F15" s="443"/>
      <c r="G15" s="444"/>
      <c r="H15" s="443"/>
    </row>
    <row r="16" spans="3:9">
      <c r="C16" s="1405" t="s">
        <v>109</v>
      </c>
      <c r="D16" s="1406">
        <f>SUM(D8:D15)</f>
        <v>0</v>
      </c>
      <c r="E16" s="1406">
        <f>SUM(E8:E15)</f>
        <v>0</v>
      </c>
      <c r="F16" s="1406">
        <f>SUM(F8:F15)</f>
        <v>0</v>
      </c>
      <c r="G16" s="1406">
        <f>SUM(G8:G15)</f>
        <v>0</v>
      </c>
      <c r="H16" s="1406">
        <f>SUM(H8:H15)</f>
        <v>0</v>
      </c>
    </row>
    <row r="17" spans="3:9">
      <c r="C17" s="274"/>
      <c r="D17" s="275"/>
      <c r="E17" s="275"/>
      <c r="F17" s="275"/>
      <c r="G17" s="275"/>
      <c r="H17" s="276"/>
    </row>
    <row r="18" spans="3:9" ht="13.5" thickBot="1">
      <c r="C18" s="1295"/>
      <c r="D18" s="2422">
        <f>+D4</f>
        <v>45657</v>
      </c>
      <c r="E18" s="2423"/>
      <c r="F18" s="2423"/>
      <c r="G18" s="2423"/>
      <c r="H18" s="2424"/>
    </row>
    <row r="19" spans="3:9" ht="26.65" thickBot="1">
      <c r="C19" s="1325"/>
      <c r="D19" s="1407" t="s">
        <v>657</v>
      </c>
      <c r="E19" s="1407" t="s">
        <v>658</v>
      </c>
      <c r="F19" s="1403" t="s">
        <v>659</v>
      </c>
      <c r="G19" s="1407" t="s">
        <v>660</v>
      </c>
      <c r="H19" s="1404" t="s">
        <v>661</v>
      </c>
    </row>
    <row r="20" spans="3:9">
      <c r="C20" s="269" t="s">
        <v>120</v>
      </c>
      <c r="D20" s="445"/>
      <c r="E20" s="446"/>
      <c r="F20" s="447"/>
      <c r="G20" s="446"/>
      <c r="H20" s="448"/>
    </row>
    <row r="21" spans="3:9">
      <c r="C21" s="273" t="s">
        <v>666</v>
      </c>
      <c r="D21" s="449"/>
      <c r="E21" s="441"/>
      <c r="F21" s="442"/>
      <c r="G21" s="441"/>
      <c r="H21" s="450"/>
      <c r="I21" s="1">
        <f>+SUM(D21:H21)-'Est Situacion'!G46-'Est Situacion'!G62</f>
        <v>0</v>
      </c>
    </row>
    <row r="22" spans="3:9" ht="26.25">
      <c r="C22" s="278" t="s">
        <v>49</v>
      </c>
      <c r="D22" s="449"/>
      <c r="E22" s="441"/>
      <c r="F22" s="442"/>
      <c r="G22" s="441"/>
      <c r="H22" s="450"/>
      <c r="I22" s="1">
        <f>+SUM(D22:H22)-'Est Situacion'!G47-'Est Situacion'!G63</f>
        <v>0</v>
      </c>
    </row>
    <row r="23" spans="3:9" ht="26.25">
      <c r="C23" s="278" t="s">
        <v>121</v>
      </c>
      <c r="D23" s="449"/>
      <c r="E23" s="441"/>
      <c r="F23" s="442"/>
      <c r="G23" s="441"/>
      <c r="H23" s="450"/>
      <c r="I23" s="1">
        <f>+SUM(D23:H23)-'Est Situacion'!G48</f>
        <v>0</v>
      </c>
    </row>
    <row r="24" spans="3:9">
      <c r="C24" s="278" t="s">
        <v>667</v>
      </c>
      <c r="D24" s="449"/>
      <c r="E24" s="441"/>
      <c r="F24" s="442"/>
      <c r="G24" s="441"/>
      <c r="H24" s="450"/>
      <c r="I24" s="1">
        <f>+SUM(D24:H24)-'Est Situacion'!G52-'Est Situacion'!G68</f>
        <v>0</v>
      </c>
    </row>
    <row r="25" spans="3:9" ht="13.5" thickBot="1">
      <c r="C25" s="277"/>
      <c r="D25" s="451"/>
      <c r="E25" s="452"/>
      <c r="F25" s="453"/>
      <c r="G25" s="452"/>
      <c r="H25" s="454"/>
    </row>
    <row r="26" spans="3:9">
      <c r="C26" s="1405" t="s">
        <v>109</v>
      </c>
      <c r="D26" s="1408">
        <f>SUM(D21:D25)</f>
        <v>0</v>
      </c>
      <c r="E26" s="1408">
        <f>SUM(E21:E25)</f>
        <v>0</v>
      </c>
      <c r="F26" s="1406">
        <f>SUM(F21:F25)</f>
        <v>0</v>
      </c>
      <c r="G26" s="1408">
        <f>SUM(G21:G25)</f>
        <v>0</v>
      </c>
      <c r="H26" s="1406">
        <f>SUM(H21:H25)</f>
        <v>0</v>
      </c>
    </row>
  </sheetData>
  <sheetProtection algorithmName="SHA-512" hashValue="4viM8GK6yFQSnqe+uE6kcIbB9mXKzcW6MOpvy9xgYRipy7KdEWn/uvSoxjD2jEd8dvjNhCX6nA1PGppJ2LoQiw==" saltValue="HzQaQmaDgeVRepDrw03JZg==" spinCount="100000" sheet="1" objects="1" scenarios="1"/>
  <mergeCells count="2">
    <mergeCell ref="D4:H4"/>
    <mergeCell ref="D18:H18"/>
  </mergeCells>
  <dataValidations count="1">
    <dataValidation type="whole" allowBlank="1" showInputMessage="1" showErrorMessage="1" sqref="D8:H15 D21:H25" xr:uid="{00000000-0002-0000-3C00-000000000000}">
      <formula1>0</formula1>
      <formula2>9.99999999999999E+28</formula2>
    </dataValidation>
  </dataValidation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3">
    <tabColor theme="3" tint="0.39997558519241921"/>
  </sheetPr>
  <dimension ref="B4:D12"/>
  <sheetViews>
    <sheetView showGridLines="0" workbookViewId="0">
      <selection activeCell="G17" sqref="G17"/>
    </sheetView>
  </sheetViews>
  <sheetFormatPr baseColWidth="10" defaultColWidth="11.46484375" defaultRowHeight="14.25"/>
  <cols>
    <col min="2" max="2" width="22.53125" bestFit="1" customWidth="1"/>
    <col min="3" max="4" width="20.19921875" customWidth="1"/>
  </cols>
  <sheetData>
    <row r="4" spans="2:4">
      <c r="B4" s="280"/>
      <c r="C4" s="2425" t="s">
        <v>668</v>
      </c>
      <c r="D4" s="2425"/>
    </row>
    <row r="5" spans="2:4">
      <c r="B5" s="280"/>
      <c r="C5" s="280"/>
      <c r="D5" s="280"/>
    </row>
    <row r="6" spans="2:4">
      <c r="B6" s="1320"/>
      <c r="C6" s="1409">
        <f>+Datos!D8</f>
        <v>45657</v>
      </c>
      <c r="D6" s="1409">
        <f>+Datos!E8</f>
        <v>45291</v>
      </c>
    </row>
    <row r="7" spans="2:4">
      <c r="B7" s="281"/>
      <c r="C7" s="280"/>
      <c r="D7" s="282"/>
    </row>
    <row r="8" spans="2:4">
      <c r="B8" s="1047" t="s">
        <v>669</v>
      </c>
      <c r="C8" s="282"/>
      <c r="D8" s="282"/>
    </row>
    <row r="9" spans="2:4">
      <c r="B9" s="1047" t="s">
        <v>670</v>
      </c>
      <c r="C9" s="282"/>
      <c r="D9" s="282"/>
    </row>
    <row r="10" spans="2:4">
      <c r="B10" s="1047" t="s">
        <v>156</v>
      </c>
      <c r="C10" s="465"/>
      <c r="D10" s="465"/>
    </row>
    <row r="11" spans="2:4">
      <c r="B11" s="283"/>
      <c r="C11" s="1410">
        <f>SUM(C8:C10)</f>
        <v>0</v>
      </c>
      <c r="D11" s="1411">
        <f>SUM(D8:D10)</f>
        <v>0</v>
      </c>
    </row>
    <row r="12" spans="2:4">
      <c r="B12" s="280"/>
      <c r="C12" s="280"/>
      <c r="D12" s="280"/>
    </row>
  </sheetData>
  <sheetProtection algorithmName="SHA-512" hashValue="KqQEPjJcHpuTK5tflZvIz3Z86D7TxHyeoDzTXb2YVlDXJTLBw0zEpZzhyE2BBpS0JABvLq6vH/lxUOJK842fgg==" saltValue="FHR7HDUjEBsbTs1oBFMx6g==" spinCount="100000" sheet="1" objects="1" scenarios="1"/>
  <mergeCells count="1">
    <mergeCell ref="C4:D4"/>
  </mergeCells>
  <dataValidations count="1">
    <dataValidation type="whole" showInputMessage="1" showErrorMessage="1" sqref="C8:D10" xr:uid="{00000000-0002-0000-4000-000000000000}">
      <formula1>-9999999</formula1>
      <formula2>9999999</formula2>
    </dataValidation>
  </dataValidation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6">
    <tabColor theme="4" tint="-0.249977111117893"/>
  </sheetPr>
  <dimension ref="B2:F55"/>
  <sheetViews>
    <sheetView showGridLines="0" workbookViewId="0">
      <selection activeCell="G17" sqref="G17"/>
    </sheetView>
  </sheetViews>
  <sheetFormatPr baseColWidth="10" defaultColWidth="11.46484375" defaultRowHeight="14.25"/>
  <cols>
    <col min="2" max="2" width="7.796875" customWidth="1"/>
    <col min="3" max="3" width="23.46484375" customWidth="1"/>
    <col min="4" max="4" width="27" customWidth="1"/>
    <col min="5" max="5" width="22.46484375" customWidth="1"/>
  </cols>
  <sheetData>
    <row r="2" spans="2:6">
      <c r="B2" s="33" t="s">
        <v>706</v>
      </c>
    </row>
    <row r="5" spans="2:6">
      <c r="B5" s="33" t="s">
        <v>690</v>
      </c>
    </row>
    <row r="6" spans="2:6" ht="28.5">
      <c r="B6" s="1412"/>
      <c r="C6" s="1413" t="s">
        <v>692</v>
      </c>
      <c r="D6" s="1413" t="s">
        <v>693</v>
      </c>
      <c r="E6" s="1413" t="s">
        <v>694</v>
      </c>
      <c r="F6" s="1414" t="s">
        <v>708</v>
      </c>
    </row>
    <row r="7" spans="2:6">
      <c r="B7" s="327">
        <v>1</v>
      </c>
      <c r="F7" s="328"/>
    </row>
    <row r="8" spans="2:6">
      <c r="B8" s="327">
        <v>2</v>
      </c>
      <c r="F8" s="328"/>
    </row>
    <row r="9" spans="2:6">
      <c r="B9" s="327">
        <v>3</v>
      </c>
      <c r="F9" s="328"/>
    </row>
    <row r="10" spans="2:6">
      <c r="B10" s="327">
        <v>4</v>
      </c>
      <c r="F10" s="328"/>
    </row>
    <row r="11" spans="2:6">
      <c r="B11" s="327">
        <v>5</v>
      </c>
      <c r="F11" s="328"/>
    </row>
    <row r="12" spans="2:6">
      <c r="B12" s="327">
        <v>6</v>
      </c>
      <c r="F12" s="328"/>
    </row>
    <row r="13" spans="2:6">
      <c r="B13" s="329">
        <v>7</v>
      </c>
      <c r="C13" s="330"/>
      <c r="D13" s="330"/>
      <c r="E13" s="330"/>
      <c r="F13" s="331"/>
    </row>
    <row r="16" spans="2:6">
      <c r="B16" s="33" t="s">
        <v>691</v>
      </c>
    </row>
    <row r="17" spans="2:6" ht="28.5">
      <c r="B17" s="1412"/>
      <c r="C17" s="1413" t="s">
        <v>692</v>
      </c>
      <c r="D17" s="1413" t="s">
        <v>693</v>
      </c>
      <c r="E17" s="1413" t="s">
        <v>694</v>
      </c>
      <c r="F17" s="1414" t="s">
        <v>708</v>
      </c>
    </row>
    <row r="18" spans="2:6">
      <c r="B18" s="327">
        <v>1</v>
      </c>
      <c r="F18" s="328"/>
    </row>
    <row r="19" spans="2:6">
      <c r="B19" s="327">
        <v>2</v>
      </c>
      <c r="F19" s="328"/>
    </row>
    <row r="20" spans="2:6">
      <c r="B20" s="327">
        <v>3</v>
      </c>
      <c r="F20" s="328"/>
    </row>
    <row r="21" spans="2:6">
      <c r="B21" s="327">
        <v>4</v>
      </c>
      <c r="F21" s="328"/>
    </row>
    <row r="22" spans="2:6">
      <c r="B22" s="327">
        <v>5</v>
      </c>
      <c r="F22" s="328"/>
    </row>
    <row r="23" spans="2:6">
      <c r="B23" s="327">
        <v>6</v>
      </c>
      <c r="F23" s="328"/>
    </row>
    <row r="24" spans="2:6">
      <c r="B24" s="329">
        <v>7</v>
      </c>
      <c r="C24" s="330"/>
      <c r="D24" s="330"/>
      <c r="E24" s="330"/>
      <c r="F24" s="331"/>
    </row>
    <row r="28" spans="2:6">
      <c r="B28" s="33" t="s">
        <v>695</v>
      </c>
    </row>
    <row r="29" spans="2:6">
      <c r="C29" t="s">
        <v>709</v>
      </c>
    </row>
    <row r="30" spans="2:6" ht="28.5">
      <c r="B30" s="1412"/>
      <c r="C30" s="1413" t="s">
        <v>207</v>
      </c>
      <c r="D30" s="1413" t="s">
        <v>696</v>
      </c>
      <c r="E30" s="1413" t="s">
        <v>697</v>
      </c>
      <c r="F30" s="1415" t="s">
        <v>698</v>
      </c>
    </row>
    <row r="31" spans="2:6">
      <c r="B31" s="327">
        <v>1</v>
      </c>
      <c r="F31" s="328"/>
    </row>
    <row r="32" spans="2:6">
      <c r="B32" s="327">
        <v>2</v>
      </c>
      <c r="F32" s="328"/>
    </row>
    <row r="33" spans="2:6">
      <c r="B33" s="327">
        <v>3</v>
      </c>
      <c r="F33" s="328"/>
    </row>
    <row r="34" spans="2:6">
      <c r="B34" s="327">
        <v>4</v>
      </c>
      <c r="F34" s="328"/>
    </row>
    <row r="35" spans="2:6">
      <c r="B35" s="327">
        <v>5</v>
      </c>
      <c r="F35" s="328"/>
    </row>
    <row r="36" spans="2:6">
      <c r="B36" s="327">
        <v>6</v>
      </c>
      <c r="F36" s="328"/>
    </row>
    <row r="37" spans="2:6">
      <c r="B37" s="329"/>
      <c r="C37" s="330"/>
      <c r="D37" s="330"/>
      <c r="E37" s="330"/>
      <c r="F37" s="331"/>
    </row>
    <row r="40" spans="2:6">
      <c r="B40" s="33" t="s">
        <v>699</v>
      </c>
    </row>
    <row r="41" spans="2:6">
      <c r="B41" s="33"/>
      <c r="C41" t="s">
        <v>702</v>
      </c>
      <c r="D41" s="326"/>
    </row>
    <row r="42" spans="2:6">
      <c r="C42" t="s">
        <v>705</v>
      </c>
    </row>
    <row r="43" spans="2:6">
      <c r="B43" s="1416"/>
      <c r="C43" s="2426" t="s">
        <v>700</v>
      </c>
      <c r="D43" s="2426" t="s">
        <v>701</v>
      </c>
      <c r="E43" s="1417" t="s">
        <v>1298</v>
      </c>
    </row>
    <row r="44" spans="2:6">
      <c r="B44" s="1418"/>
      <c r="C44" s="2427"/>
      <c r="D44" s="2427"/>
      <c r="E44" s="1419" t="s">
        <v>707</v>
      </c>
    </row>
    <row r="45" spans="2:6">
      <c r="B45" s="327">
        <v>1</v>
      </c>
      <c r="E45" s="328"/>
    </row>
    <row r="46" spans="2:6">
      <c r="B46" s="327">
        <v>2</v>
      </c>
      <c r="E46" s="328"/>
    </row>
    <row r="47" spans="2:6">
      <c r="B47" s="327">
        <v>3</v>
      </c>
      <c r="E47" s="328"/>
    </row>
    <row r="48" spans="2:6">
      <c r="B48" s="327">
        <v>4</v>
      </c>
      <c r="E48" s="328"/>
    </row>
    <row r="49" spans="2:5">
      <c r="B49" s="327">
        <v>5</v>
      </c>
      <c r="E49" s="328"/>
    </row>
    <row r="50" spans="2:5">
      <c r="B50" s="327">
        <v>6</v>
      </c>
      <c r="E50" s="328"/>
    </row>
    <row r="51" spans="2:5">
      <c r="B51" s="329"/>
      <c r="C51" s="330"/>
      <c r="D51" s="330"/>
      <c r="E51" s="331"/>
    </row>
    <row r="54" spans="2:5">
      <c r="B54" s="33" t="s">
        <v>703</v>
      </c>
    </row>
    <row r="55" spans="2:5">
      <c r="C55" t="s">
        <v>704</v>
      </c>
    </row>
  </sheetData>
  <sheetProtection algorithmName="SHA-512" hashValue="EaonslTNmRen4uBp6ssi8bYVqueRfjrP16+4mzEbmZt3Z4tsY+ODpulxMbu7Guh7MD2oO4dM+bDEXXE58s6Kwg==" saltValue="8XERGK8z/wGEtzbcFNUpYA==" spinCount="100000" sheet="1" objects="1" scenarios="1"/>
  <mergeCells count="2">
    <mergeCell ref="C43:C44"/>
    <mergeCell ref="D43:D44"/>
  </mergeCell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7"/>
  <dimension ref="A1:F17"/>
  <sheetViews>
    <sheetView showGridLines="0" workbookViewId="0">
      <selection activeCell="F18" sqref="F18"/>
    </sheetView>
  </sheetViews>
  <sheetFormatPr baseColWidth="10" defaultRowHeight="14.25"/>
  <cols>
    <col min="2" max="2" width="36.53125" customWidth="1"/>
    <col min="3" max="3" width="18" customWidth="1"/>
    <col min="4" max="4" width="19" customWidth="1"/>
  </cols>
  <sheetData>
    <row r="1" spans="1:6">
      <c r="A1" t="s">
        <v>415</v>
      </c>
      <c r="B1" s="1"/>
      <c r="C1" s="1"/>
      <c r="D1" s="1"/>
      <c r="E1" s="56" t="s">
        <v>417</v>
      </c>
      <c r="F1" s="1"/>
    </row>
    <row r="2" spans="1:6">
      <c r="A2" s="1" t="s">
        <v>418</v>
      </c>
      <c r="B2" s="1"/>
      <c r="C2" s="1"/>
      <c r="D2" s="1"/>
      <c r="E2" s="1"/>
      <c r="F2" s="1"/>
    </row>
    <row r="3" spans="1:6">
      <c r="A3" s="1"/>
      <c r="B3" s="54"/>
      <c r="C3" s="125" t="s">
        <v>243</v>
      </c>
      <c r="D3" s="126" t="s">
        <v>244</v>
      </c>
      <c r="E3" s="1"/>
      <c r="F3" s="1"/>
    </row>
    <row r="4" spans="1:6">
      <c r="A4" s="1"/>
      <c r="B4" s="53" t="s">
        <v>416</v>
      </c>
      <c r="C4" s="127">
        <f>+Datos!D8</f>
        <v>45657</v>
      </c>
      <c r="D4" s="128">
        <f>+Datos!E8</f>
        <v>45291</v>
      </c>
      <c r="E4" s="1"/>
      <c r="F4" s="1"/>
    </row>
    <row r="5" spans="1:6">
      <c r="A5" s="1"/>
      <c r="B5" s="55"/>
      <c r="C5" s="5" t="s">
        <v>20</v>
      </c>
      <c r="D5" s="6" t="s">
        <v>20</v>
      </c>
      <c r="E5" s="1"/>
      <c r="F5" s="1"/>
    </row>
    <row r="6" spans="1:6">
      <c r="A6" s="1"/>
      <c r="B6" s="1" t="s">
        <v>151</v>
      </c>
      <c r="C6" s="1"/>
      <c r="D6" s="1"/>
      <c r="E6" s="1"/>
      <c r="F6" s="1"/>
    </row>
    <row r="7" spans="1:6">
      <c r="A7" s="1"/>
      <c r="B7" s="1" t="s">
        <v>152</v>
      </c>
      <c r="C7" s="1"/>
      <c r="D7" s="1"/>
      <c r="E7" s="1"/>
      <c r="F7" s="1"/>
    </row>
    <row r="8" spans="1:6">
      <c r="A8" s="1"/>
      <c r="B8" s="1" t="s">
        <v>358</v>
      </c>
      <c r="C8" s="1"/>
      <c r="D8" s="1"/>
      <c r="E8" s="1"/>
      <c r="F8" s="1"/>
    </row>
    <row r="9" spans="1:6">
      <c r="A9" s="1"/>
      <c r="B9" s="1" t="s">
        <v>361</v>
      </c>
      <c r="C9" s="1"/>
      <c r="D9" s="1"/>
      <c r="E9" s="1"/>
      <c r="F9" s="1"/>
    </row>
    <row r="10" spans="1:6">
      <c r="A10" s="1"/>
      <c r="B10" s="1" t="s">
        <v>362</v>
      </c>
      <c r="C10" s="1"/>
      <c r="D10" s="1"/>
      <c r="E10" s="1"/>
      <c r="F10" s="1"/>
    </row>
    <row r="11" spans="1:6">
      <c r="A11" s="1"/>
      <c r="B11" s="1"/>
      <c r="C11" s="1"/>
      <c r="D11" s="1"/>
      <c r="E11" s="1"/>
      <c r="F11" s="1"/>
    </row>
    <row r="12" spans="1:6">
      <c r="A12" s="1"/>
      <c r="B12" s="7" t="s">
        <v>189</v>
      </c>
      <c r="C12" s="8">
        <f>+SUM(C6:C11)</f>
        <v>0</v>
      </c>
      <c r="D12" s="8">
        <f>+SUM(D6:D11)</f>
        <v>0</v>
      </c>
      <c r="E12" s="1"/>
      <c r="F12" s="1"/>
    </row>
    <row r="13" spans="1:6">
      <c r="A13" s="1"/>
      <c r="B13" s="1"/>
      <c r="C13" s="1"/>
      <c r="D13" s="1"/>
      <c r="E13" s="1"/>
      <c r="F13" s="1"/>
    </row>
    <row r="14" spans="1:6">
      <c r="A14" s="1"/>
      <c r="B14" s="11" t="s">
        <v>268</v>
      </c>
      <c r="C14" s="15" t="e">
        <f>+C12-#REF!</f>
        <v>#REF!</v>
      </c>
      <c r="D14" s="15" t="e">
        <f>+D12-#REF!</f>
        <v>#REF!</v>
      </c>
      <c r="E14" s="1"/>
      <c r="F14" s="1"/>
    </row>
    <row r="15" spans="1:6">
      <c r="A15" s="1"/>
      <c r="B15" s="1"/>
      <c r="C15" s="1"/>
      <c r="D15" s="1"/>
      <c r="E15" s="1"/>
      <c r="F15" s="1"/>
    </row>
    <row r="16" spans="1:6">
      <c r="A16" s="1"/>
      <c r="B16" s="1"/>
      <c r="C16" s="1"/>
      <c r="D16" s="1"/>
      <c r="E16" s="1"/>
      <c r="F16" s="1"/>
    </row>
    <row r="17" spans="1:6">
      <c r="A17" s="1"/>
      <c r="B17" s="1"/>
      <c r="C17" s="1"/>
      <c r="D17" s="1"/>
      <c r="E17" s="1"/>
      <c r="F17" s="1"/>
    </row>
  </sheetData>
  <sheetProtection password="DF8B" sheet="1" objects="1" scenarios="1"/>
  <hyperlinks>
    <hyperlink ref="E1" location="'EºFLUJO EF'!A1" display="Volver" xr:uid="{00000000-0004-0000-42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FBA4-0A03-4D16-8965-E30FFD9E70EC}">
  <dimension ref="B1:O426"/>
  <sheetViews>
    <sheetView tabSelected="1" topLeftCell="A33" workbookViewId="0">
      <selection activeCell="E44" sqref="E44"/>
    </sheetView>
  </sheetViews>
  <sheetFormatPr baseColWidth="10" defaultColWidth="10.86328125" defaultRowHeight="13.5"/>
  <cols>
    <col min="1" max="1" width="1.6640625" style="789" customWidth="1"/>
    <col min="2" max="2" width="13.1328125" style="735" customWidth="1"/>
    <col min="3" max="3" width="33.86328125" style="735" customWidth="1"/>
    <col min="4" max="4" width="12.1328125" style="735" bestFit="1" customWidth="1"/>
    <col min="5" max="5" width="22.86328125" style="735" customWidth="1"/>
    <col min="6" max="6" width="17" style="817" customWidth="1"/>
    <col min="7" max="7" width="18.53125" style="817" customWidth="1"/>
    <col min="8" max="8" width="12.19921875" style="789" bestFit="1" customWidth="1"/>
    <col min="9" max="9" width="1.19921875" style="789" customWidth="1"/>
    <col min="10" max="10" width="47.3984375" style="789" customWidth="1"/>
    <col min="11" max="11" width="12.73046875" style="789" bestFit="1" customWidth="1"/>
    <col min="12" max="12" width="12.86328125" style="789" bestFit="1" customWidth="1"/>
    <col min="13" max="13" width="15.3984375" style="789" bestFit="1" customWidth="1"/>
    <col min="14" max="14" width="15.53125" style="789" bestFit="1" customWidth="1"/>
    <col min="15" max="15" width="15.3984375" style="789" bestFit="1" customWidth="1"/>
    <col min="16" max="16384" width="10.86328125" style="789"/>
  </cols>
  <sheetData>
    <row r="1" spans="2:12" ht="13.9" thickBot="1"/>
    <row r="2" spans="2:12" s="1450" customFormat="1" ht="15">
      <c r="C2" s="1643"/>
      <c r="D2" s="1644"/>
      <c r="E2" s="1643"/>
      <c r="F2" s="1645"/>
      <c r="G2" s="1646" t="s">
        <v>1614</v>
      </c>
    </row>
    <row r="3" spans="2:12" s="1450" customFormat="1" ht="15.4" thickBot="1">
      <c r="C3" s="2031" t="s">
        <v>934</v>
      </c>
      <c r="D3" s="2031"/>
      <c r="E3" s="2031"/>
      <c r="F3" s="1647"/>
      <c r="G3" s="1648"/>
    </row>
    <row r="4" spans="2:12" s="1450" customFormat="1" ht="30">
      <c r="C4" s="2031"/>
      <c r="D4" s="2031"/>
      <c r="E4" s="2031"/>
      <c r="F4" s="1649" t="s">
        <v>1475</v>
      </c>
      <c r="G4" s="1645" t="s">
        <v>1698</v>
      </c>
    </row>
    <row r="5" spans="2:12" s="1450" customFormat="1" ht="15">
      <c r="C5" s="2032" t="s">
        <v>1669</v>
      </c>
      <c r="D5" s="2032"/>
      <c r="E5" s="2033"/>
      <c r="F5" s="1650" t="s">
        <v>1476</v>
      </c>
      <c r="G5" s="1645" t="s">
        <v>1716</v>
      </c>
    </row>
    <row r="6" spans="2:12" s="1450" customFormat="1" ht="15">
      <c r="C6" s="2034" t="s">
        <v>1547</v>
      </c>
      <c r="D6" s="2034"/>
      <c r="E6" s="2035"/>
      <c r="F6" s="1650" t="s">
        <v>1478</v>
      </c>
      <c r="G6" s="1651"/>
    </row>
    <row r="7" spans="2:12" s="1450" customFormat="1" ht="15.4" thickBot="1">
      <c r="C7" s="2034"/>
      <c r="D7" s="2034"/>
      <c r="E7" s="2035"/>
      <c r="F7" s="1652" t="s">
        <v>1476</v>
      </c>
      <c r="G7" s="1653"/>
    </row>
    <row r="8" spans="2:12" ht="13.9" thickBot="1"/>
    <row r="9" spans="2:12" ht="13.9" thickBot="1">
      <c r="B9" s="2106" t="s">
        <v>1619</v>
      </c>
      <c r="C9" s="2106"/>
      <c r="D9" s="2106"/>
      <c r="E9" s="2106"/>
      <c r="F9" s="2106"/>
      <c r="G9" s="2106"/>
      <c r="L9" s="1814" t="s">
        <v>1638</v>
      </c>
    </row>
    <row r="10" spans="2:12" ht="13.9" thickBot="1">
      <c r="B10" s="2106"/>
      <c r="C10" s="2106"/>
      <c r="D10" s="2106"/>
      <c r="E10" s="2106"/>
      <c r="F10" s="2106"/>
      <c r="G10" s="2106"/>
      <c r="J10" s="1815" t="s">
        <v>1052</v>
      </c>
      <c r="K10" s="1816"/>
      <c r="L10" s="1814" t="s">
        <v>1473</v>
      </c>
    </row>
    <row r="11" spans="2:12" ht="15">
      <c r="B11" s="1450"/>
      <c r="C11" s="1450"/>
      <c r="D11" s="1450"/>
      <c r="E11" s="1450"/>
      <c r="F11" s="1449"/>
      <c r="G11" s="1449"/>
      <c r="J11" s="1817" t="s">
        <v>1436</v>
      </c>
      <c r="K11" s="1818"/>
      <c r="L11" s="1819">
        <v>20000000</v>
      </c>
    </row>
    <row r="12" spans="2:12" ht="13.9" thickBot="1">
      <c r="B12" s="2107" t="s">
        <v>1618</v>
      </c>
      <c r="C12" s="2107"/>
      <c r="D12" s="2107"/>
      <c r="E12" s="2107"/>
      <c r="F12" s="2107"/>
      <c r="G12" s="2107"/>
      <c r="J12" s="1633" t="s">
        <v>1438</v>
      </c>
      <c r="K12" s="1634"/>
      <c r="L12" s="1820">
        <v>-5000000</v>
      </c>
    </row>
    <row r="13" spans="2:12" ht="13.9" thickBot="1">
      <c r="B13" s="2107"/>
      <c r="C13" s="2107"/>
      <c r="D13" s="2107"/>
      <c r="E13" s="2107"/>
      <c r="F13" s="2107"/>
      <c r="G13" s="2107"/>
      <c r="L13" s="1821"/>
    </row>
    <row r="14" spans="2:12">
      <c r="B14" s="2107"/>
      <c r="C14" s="2107"/>
      <c r="D14" s="2107"/>
      <c r="E14" s="2107"/>
      <c r="F14" s="2107"/>
      <c r="G14" s="2107"/>
      <c r="J14" s="2472" t="s">
        <v>993</v>
      </c>
      <c r="K14" s="2473"/>
      <c r="L14" s="2474">
        <v>22000000</v>
      </c>
    </row>
    <row r="15" spans="2:12" ht="15.4" thickBot="1">
      <c r="B15" s="1450"/>
      <c r="C15" s="1450"/>
      <c r="D15" s="1450"/>
      <c r="E15" s="1450"/>
      <c r="F15" s="1449"/>
      <c r="G15" s="1449"/>
      <c r="J15" s="2475" t="s">
        <v>998</v>
      </c>
      <c r="K15" s="2476"/>
      <c r="L15" s="2477">
        <v>-9000000</v>
      </c>
    </row>
    <row r="16" spans="2:12" ht="13.9" thickBot="1">
      <c r="B16" s="2106" t="s">
        <v>1615</v>
      </c>
      <c r="C16" s="2106"/>
      <c r="D16" s="2106"/>
      <c r="E16" s="2106"/>
      <c r="F16" s="2106"/>
      <c r="G16" s="2106"/>
      <c r="L16" s="1821"/>
    </row>
    <row r="17" spans="2:15">
      <c r="B17" s="2106"/>
      <c r="C17" s="2106"/>
      <c r="D17" s="2106"/>
      <c r="E17" s="2106"/>
      <c r="F17" s="2106"/>
      <c r="G17" s="2106"/>
      <c r="J17" s="2472" t="s">
        <v>1437</v>
      </c>
      <c r="K17" s="2473"/>
      <c r="L17" s="2474">
        <v>30000000</v>
      </c>
    </row>
    <row r="18" spans="2:15" ht="15.4" thickBot="1">
      <c r="B18" s="1763"/>
      <c r="C18" s="1450"/>
      <c r="D18" s="1450"/>
      <c r="E18" s="1450"/>
      <c r="F18" s="1449"/>
      <c r="G18" s="1449"/>
      <c r="J18" s="2475" t="s">
        <v>1439</v>
      </c>
      <c r="K18" s="2476"/>
      <c r="L18" s="2477">
        <v>-20000000</v>
      </c>
    </row>
    <row r="19" spans="2:15" ht="13.9" thickBot="1">
      <c r="B19" s="2108" t="s">
        <v>1616</v>
      </c>
      <c r="C19" s="2108"/>
      <c r="D19" s="2108"/>
      <c r="E19" s="2108"/>
      <c r="F19" s="2108"/>
      <c r="G19" s="2108"/>
      <c r="L19" s="1821"/>
    </row>
    <row r="20" spans="2:15">
      <c r="B20" s="2108"/>
      <c r="C20" s="2108"/>
      <c r="D20" s="2108"/>
      <c r="E20" s="2108"/>
      <c r="F20" s="2108"/>
      <c r="G20" s="2108"/>
      <c r="J20" s="2472" t="s">
        <v>994</v>
      </c>
      <c r="K20" s="2473"/>
      <c r="L20" s="2474">
        <v>240000000</v>
      </c>
    </row>
    <row r="21" spans="2:15" ht="15.4" thickBot="1">
      <c r="B21" s="1764"/>
      <c r="C21" s="1450"/>
      <c r="D21" s="1450"/>
      <c r="E21" s="1450"/>
      <c r="F21" s="1449"/>
      <c r="G21" s="1449"/>
      <c r="J21" s="2475" t="s">
        <v>997</v>
      </c>
      <c r="K21" s="2476"/>
      <c r="L21" s="2477">
        <v>-77000000</v>
      </c>
    </row>
    <row r="22" spans="2:15" ht="13.9" thickBot="1">
      <c r="B22" s="2109" t="s">
        <v>1617</v>
      </c>
      <c r="C22" s="2109"/>
      <c r="D22" s="2109"/>
      <c r="E22" s="2109"/>
      <c r="F22" s="2109"/>
      <c r="G22" s="2109"/>
      <c r="L22" s="1821"/>
    </row>
    <row r="23" spans="2:15">
      <c r="B23" s="2109"/>
      <c r="C23" s="2109"/>
      <c r="D23" s="2109"/>
      <c r="E23" s="2109"/>
      <c r="F23" s="2109"/>
      <c r="G23" s="2109"/>
      <c r="J23" s="2472" t="s">
        <v>995</v>
      </c>
      <c r="K23" s="2473"/>
      <c r="L23" s="2474">
        <v>275000000</v>
      </c>
    </row>
    <row r="24" spans="2:15" ht="13.9" thickBot="1">
      <c r="B24" s="2109"/>
      <c r="C24" s="2109"/>
      <c r="D24" s="2109"/>
      <c r="E24" s="2109"/>
      <c r="F24" s="2109"/>
      <c r="G24" s="2109"/>
      <c r="J24" s="2475" t="s">
        <v>999</v>
      </c>
      <c r="K24" s="2476"/>
      <c r="L24" s="2477">
        <v>-16000000</v>
      </c>
    </row>
    <row r="25" spans="2:15" ht="15.4" thickBot="1">
      <c r="B25" s="1763"/>
      <c r="C25" s="1450"/>
      <c r="D25" s="1450"/>
      <c r="E25" s="1450"/>
      <c r="F25" s="1449"/>
      <c r="G25" s="1449"/>
      <c r="L25" s="1821"/>
    </row>
    <row r="26" spans="2:15" ht="13.9" thickBot="1">
      <c r="B26" s="2106" t="s">
        <v>1620</v>
      </c>
      <c r="C26" s="2106"/>
      <c r="D26" s="2106"/>
      <c r="E26" s="2106"/>
      <c r="F26" s="2106"/>
      <c r="G26" s="2106"/>
      <c r="J26" s="1146" t="s">
        <v>996</v>
      </c>
      <c r="K26" s="1147"/>
      <c r="L26" s="2428">
        <v>480000000</v>
      </c>
    </row>
    <row r="27" spans="2:15" ht="13.9" thickBot="1">
      <c r="B27" s="2106"/>
      <c r="C27" s="2106"/>
      <c r="D27" s="2106"/>
      <c r="E27" s="2106"/>
      <c r="F27" s="2106"/>
      <c r="G27" s="2106"/>
      <c r="L27" s="1821"/>
    </row>
    <row r="28" spans="2:15" ht="13.9" thickBot="1">
      <c r="B28" s="2106"/>
      <c r="C28" s="2106"/>
      <c r="D28" s="2106"/>
      <c r="E28" s="2106"/>
      <c r="F28" s="2106"/>
      <c r="G28" s="2106"/>
      <c r="J28" s="1822" t="s">
        <v>1621</v>
      </c>
      <c r="K28" s="1823"/>
      <c r="L28" s="1824">
        <v>183000000</v>
      </c>
    </row>
    <row r="29" spans="2:15">
      <c r="B29" s="2106"/>
      <c r="C29" s="2106"/>
      <c r="D29" s="2106"/>
      <c r="E29" s="2106"/>
      <c r="F29" s="2106"/>
      <c r="G29" s="2106"/>
    </row>
    <row r="30" spans="2:15">
      <c r="B30" s="2106"/>
      <c r="C30" s="2106"/>
      <c r="D30" s="2106"/>
      <c r="E30" s="2106"/>
      <c r="F30" s="2106"/>
      <c r="G30" s="2106"/>
      <c r="J30" s="2117" t="s">
        <v>1668</v>
      </c>
      <c r="K30" s="2118"/>
      <c r="L30" s="2118"/>
      <c r="M30" s="2118"/>
      <c r="N30" s="2118"/>
      <c r="O30" s="2119"/>
    </row>
    <row r="31" spans="2:15">
      <c r="B31" s="2106"/>
      <c r="C31" s="2106"/>
      <c r="D31" s="2106"/>
      <c r="E31" s="2106"/>
      <c r="F31" s="2106"/>
      <c r="G31" s="2106"/>
      <c r="J31" s="2120"/>
      <c r="K31" s="2121"/>
      <c r="L31" s="2121"/>
      <c r="M31" s="2121"/>
      <c r="N31" s="2121"/>
      <c r="O31" s="2122"/>
    </row>
    <row r="32" spans="2:15" ht="15.4" thickBot="1">
      <c r="B32" s="1640"/>
      <c r="C32" s="1640"/>
      <c r="D32" s="1640"/>
      <c r="E32" s="1640"/>
      <c r="F32" s="1640"/>
      <c r="G32" s="1640"/>
    </row>
    <row r="33" spans="2:15">
      <c r="B33" s="2110" t="s">
        <v>1717</v>
      </c>
      <c r="C33" s="2110"/>
      <c r="D33" s="2110"/>
      <c r="E33" s="2110"/>
      <c r="F33" s="2110"/>
      <c r="G33" s="2110"/>
      <c r="J33" s="2098" t="s">
        <v>1657</v>
      </c>
      <c r="K33" s="2099"/>
      <c r="L33" s="2099"/>
      <c r="M33" s="2099"/>
      <c r="N33" s="2099"/>
      <c r="O33" s="2100"/>
    </row>
    <row r="34" spans="2:15" ht="13.9" thickBot="1">
      <c r="B34" s="2110"/>
      <c r="C34" s="2110"/>
      <c r="D34" s="2110"/>
      <c r="E34" s="2110"/>
      <c r="F34" s="2110"/>
      <c r="G34" s="2110"/>
      <c r="J34" s="2101"/>
      <c r="K34" s="2102"/>
      <c r="L34" s="2102"/>
      <c r="M34" s="2102"/>
      <c r="N34" s="2102"/>
      <c r="O34" s="2103"/>
    </row>
    <row r="35" spans="2:15" ht="15">
      <c r="B35" s="1640"/>
      <c r="C35" s="1640"/>
      <c r="D35" s="1640"/>
      <c r="E35" s="1640"/>
      <c r="F35" s="1640"/>
      <c r="G35" s="1640"/>
    </row>
    <row r="36" spans="2:15">
      <c r="J36" s="2123" t="s">
        <v>1052</v>
      </c>
      <c r="K36" s="1558" t="s">
        <v>1081</v>
      </c>
      <c r="L36" s="1558" t="s">
        <v>1081</v>
      </c>
      <c r="M36" s="1558" t="s">
        <v>479</v>
      </c>
      <c r="N36" s="1558" t="s">
        <v>113</v>
      </c>
      <c r="O36" s="1558" t="s">
        <v>1082</v>
      </c>
    </row>
    <row r="37" spans="2:15" ht="13.9" thickBot="1">
      <c r="J37" s="2123"/>
      <c r="K37" s="1558" t="s">
        <v>1083</v>
      </c>
      <c r="L37" s="1558" t="s">
        <v>1084</v>
      </c>
      <c r="M37" s="1558"/>
      <c r="N37" s="1558" t="s">
        <v>1085</v>
      </c>
      <c r="O37" s="1558"/>
    </row>
    <row r="38" spans="2:15" ht="13.9" thickBot="1">
      <c r="B38" s="2111" t="s">
        <v>1670</v>
      </c>
      <c r="C38" s="2111"/>
      <c r="D38" s="2111"/>
      <c r="E38" s="885">
        <f>+'Bce Clasificado 31.12.2024'!D102</f>
        <v>480000000</v>
      </c>
      <c r="J38" s="2444" t="s">
        <v>276</v>
      </c>
      <c r="K38" s="2445"/>
      <c r="L38" s="2445"/>
      <c r="M38" s="2445"/>
      <c r="N38" s="2445"/>
      <c r="O38" s="2445"/>
    </row>
    <row r="39" spans="2:15" ht="13.9" thickBot="1">
      <c r="J39" s="2445" t="s">
        <v>1419</v>
      </c>
      <c r="K39" s="2446">
        <v>0</v>
      </c>
      <c r="L39" s="2446">
        <v>0</v>
      </c>
      <c r="M39" s="2447">
        <v>160000000</v>
      </c>
      <c r="N39" s="2448">
        <v>0</v>
      </c>
      <c r="O39" s="2447">
        <f>+M39</f>
        <v>160000000</v>
      </c>
    </row>
    <row r="40" spans="2:15" ht="16.899999999999999" thickBot="1">
      <c r="B40" s="709"/>
      <c r="C40" s="713" t="s">
        <v>996</v>
      </c>
      <c r="D40" s="714"/>
      <c r="E40" s="715" t="s">
        <v>1473</v>
      </c>
      <c r="F40" s="716" t="s">
        <v>1472</v>
      </c>
      <c r="G40" s="717" t="s">
        <v>935</v>
      </c>
      <c r="J40" s="2449" t="s">
        <v>1420</v>
      </c>
      <c r="K40" s="2449"/>
      <c r="L40" s="2449"/>
      <c r="M40" s="2450">
        <f>+M39</f>
        <v>160000000</v>
      </c>
      <c r="N40" s="2449"/>
      <c r="O40" s="2450">
        <f>+O39</f>
        <v>160000000</v>
      </c>
    </row>
    <row r="41" spans="2:15" ht="16.5">
      <c r="B41" s="709"/>
      <c r="C41" s="709" t="str">
        <f>+J40</f>
        <v>Total La Serena</v>
      </c>
      <c r="D41" s="709"/>
      <c r="E41" s="2436">
        <f>+M40</f>
        <v>160000000</v>
      </c>
      <c r="F41" s="2437">
        <f>+K117</f>
        <v>270000000</v>
      </c>
      <c r="G41" s="2438">
        <f>+F41-E41</f>
        <v>110000000</v>
      </c>
      <c r="J41" s="2445" t="s">
        <v>1421</v>
      </c>
      <c r="K41" s="2446">
        <v>0</v>
      </c>
      <c r="L41" s="2446">
        <v>0</v>
      </c>
      <c r="M41" s="877">
        <v>170000000</v>
      </c>
      <c r="N41" s="2448">
        <v>0</v>
      </c>
      <c r="O41" s="877">
        <f>+M41</f>
        <v>170000000</v>
      </c>
    </row>
    <row r="42" spans="2:15" ht="16.5">
      <c r="B42" s="709"/>
      <c r="C42" s="709" t="str">
        <f>+J42</f>
        <v>Total Santiago</v>
      </c>
      <c r="D42" s="709"/>
      <c r="E42" s="2441">
        <f>+M42</f>
        <v>170000000</v>
      </c>
      <c r="F42" s="2442">
        <f>+K118</f>
        <v>100000000</v>
      </c>
      <c r="G42" s="2443">
        <f>+F42-E42</f>
        <v>-70000000</v>
      </c>
      <c r="J42" s="2449" t="s">
        <v>1340</v>
      </c>
      <c r="K42" s="2449"/>
      <c r="L42" s="2449"/>
      <c r="M42" s="2450">
        <f>+M41</f>
        <v>170000000</v>
      </c>
      <c r="N42" s="2449"/>
      <c r="O42" s="2450">
        <f>+O41</f>
        <v>170000000</v>
      </c>
    </row>
    <row r="43" spans="2:15" ht="16.899999999999999" thickBot="1">
      <c r="C43" s="709" t="str">
        <f>+J44</f>
        <v>Total Valparaíso</v>
      </c>
      <c r="E43" s="863">
        <f>+M44</f>
        <v>150000000</v>
      </c>
      <c r="F43" s="2439">
        <f>+K119</f>
        <v>210000000</v>
      </c>
      <c r="G43" s="2440">
        <f>+F43-E43</f>
        <v>60000000</v>
      </c>
      <c r="J43" s="2445" t="s">
        <v>1422</v>
      </c>
      <c r="K43" s="2446">
        <v>0</v>
      </c>
      <c r="L43" s="2446">
        <v>0</v>
      </c>
      <c r="M43" s="877">
        <v>150000000</v>
      </c>
      <c r="N43" s="2448">
        <v>0</v>
      </c>
      <c r="O43" s="877">
        <f>+M43</f>
        <v>150000000</v>
      </c>
    </row>
    <row r="44" spans="2:15" ht="16.899999999999999" thickBot="1">
      <c r="E44" s="806">
        <f>SUM(E41:E43)</f>
        <v>480000000</v>
      </c>
      <c r="F44" s="814"/>
      <c r="G44" s="814"/>
      <c r="J44" s="2449" t="s">
        <v>1423</v>
      </c>
      <c r="K44" s="2449"/>
      <c r="L44" s="2449"/>
      <c r="M44" s="2450">
        <f>+M43</f>
        <v>150000000</v>
      </c>
      <c r="N44" s="2449"/>
      <c r="O44" s="2450">
        <f>+O43</f>
        <v>150000000</v>
      </c>
    </row>
    <row r="45" spans="2:15" ht="16.899999999999999" thickBot="1">
      <c r="B45" s="1425" t="s">
        <v>1055</v>
      </c>
      <c r="C45" s="2112" t="s">
        <v>1052</v>
      </c>
      <c r="D45" s="2112"/>
      <c r="E45" s="2113"/>
      <c r="F45" s="1426" t="s">
        <v>1056</v>
      </c>
      <c r="G45" s="1426" t="s">
        <v>1057</v>
      </c>
      <c r="J45" s="872" t="s">
        <v>109</v>
      </c>
      <c r="K45" s="872"/>
      <c r="L45" s="872"/>
      <c r="M45" s="2451">
        <f>+M44+M42+M40</f>
        <v>480000000</v>
      </c>
      <c r="N45" s="2452"/>
      <c r="O45" s="2451">
        <f>+O44+O42+O40</f>
        <v>480000000</v>
      </c>
    </row>
    <row r="46" spans="2:15" ht="16.5">
      <c r="B46" s="723" t="s">
        <v>1718</v>
      </c>
      <c r="C46" s="865" t="s">
        <v>1058</v>
      </c>
      <c r="D46" s="1056">
        <v>11</v>
      </c>
      <c r="E46" s="1057" t="s">
        <v>1058</v>
      </c>
      <c r="F46" s="868"/>
      <c r="G46" s="868"/>
      <c r="J46" s="1106"/>
      <c r="K46" s="1106"/>
      <c r="L46" s="1106"/>
      <c r="M46" s="1106"/>
      <c r="N46" s="1547"/>
      <c r="O46" s="1547"/>
    </row>
    <row r="47" spans="2:15" ht="16.5">
      <c r="B47" s="723" t="s">
        <v>294</v>
      </c>
      <c r="C47" s="1055" t="str">
        <f>+C40</f>
        <v>1-2-10-007 Terrenos</v>
      </c>
      <c r="D47" s="725"/>
      <c r="E47" s="726"/>
      <c r="F47" s="847">
        <f>+G41</f>
        <v>110000000</v>
      </c>
      <c r="G47" s="847"/>
      <c r="J47" s="1106" t="s">
        <v>929</v>
      </c>
      <c r="K47" s="1548"/>
      <c r="L47" s="1548"/>
      <c r="M47" s="1826"/>
      <c r="N47" s="1826"/>
      <c r="O47" s="1826"/>
    </row>
    <row r="48" spans="2:15" ht="16.5">
      <c r="B48" s="723" t="s">
        <v>39</v>
      </c>
      <c r="C48" s="724"/>
      <c r="D48" s="2430" t="str">
        <f>+'Bce Clasificado 31.12.2024'!H76</f>
        <v>2-3-01-004 Otras Reservas</v>
      </c>
      <c r="E48" s="2431"/>
      <c r="F48" s="847"/>
      <c r="G48" s="847">
        <f>+F47</f>
        <v>110000000</v>
      </c>
      <c r="J48" s="2445" t="s">
        <v>1424</v>
      </c>
      <c r="K48" s="2446">
        <v>60</v>
      </c>
      <c r="L48" s="2446">
        <v>600</v>
      </c>
      <c r="M48" s="877">
        <v>60000000</v>
      </c>
      <c r="N48" s="2447">
        <v>35000000</v>
      </c>
      <c r="O48" s="877">
        <v>25000000</v>
      </c>
    </row>
    <row r="49" spans="2:15" ht="16.5">
      <c r="B49" s="723"/>
      <c r="C49" s="1055"/>
      <c r="D49" s="725"/>
      <c r="E49" s="726"/>
      <c r="F49" s="847"/>
      <c r="G49" s="847"/>
      <c r="J49" s="2449" t="s">
        <v>1429</v>
      </c>
      <c r="K49" s="2449"/>
      <c r="L49" s="2449"/>
      <c r="M49" s="2450">
        <f>+M48</f>
        <v>60000000</v>
      </c>
      <c r="N49" s="2450">
        <f>+N48</f>
        <v>35000000</v>
      </c>
      <c r="O49" s="2450">
        <f>+M49-N49</f>
        <v>25000000</v>
      </c>
    </row>
    <row r="50" spans="2:15" ht="16.5">
      <c r="B50" s="723" t="s">
        <v>1707</v>
      </c>
      <c r="C50" s="1055" t="str">
        <f>+'Bce Clasificado 31.12.2024'!B174</f>
        <v>4-1-21-001 Deterioro Propiedades, Plantas y Equipos</v>
      </c>
      <c r="D50" s="709"/>
      <c r="E50" s="730"/>
      <c r="F50" s="847">
        <f>-G42</f>
        <v>70000000</v>
      </c>
      <c r="G50" s="847"/>
      <c r="J50" s="2445" t="s">
        <v>1425</v>
      </c>
      <c r="K50" s="2446">
        <v>120</v>
      </c>
      <c r="L50" s="2446">
        <v>600</v>
      </c>
      <c r="M50" s="877">
        <v>120000000</v>
      </c>
      <c r="N50" s="877">
        <v>32000000</v>
      </c>
      <c r="O50" s="877">
        <v>88000000</v>
      </c>
    </row>
    <row r="51" spans="2:15" ht="16.5">
      <c r="B51" s="723" t="s">
        <v>294</v>
      </c>
      <c r="C51" s="1055"/>
      <c r="D51" s="709" t="str">
        <f>+C40</f>
        <v>1-2-10-007 Terrenos</v>
      </c>
      <c r="E51" s="730"/>
      <c r="F51" s="847"/>
      <c r="G51" s="847">
        <f>+F50</f>
        <v>70000000</v>
      </c>
      <c r="J51" s="2449" t="s">
        <v>1426</v>
      </c>
      <c r="K51" s="2449"/>
      <c r="L51" s="2449"/>
      <c r="M51" s="2450">
        <f>+M50</f>
        <v>120000000</v>
      </c>
      <c r="N51" s="2450">
        <f>+N50</f>
        <v>32000000</v>
      </c>
      <c r="O51" s="2450">
        <f>+M51-N51</f>
        <v>88000000</v>
      </c>
    </row>
    <row r="52" spans="2:15" ht="16.5">
      <c r="B52" s="723"/>
      <c r="C52" s="729"/>
      <c r="D52" s="709"/>
      <c r="E52" s="730"/>
      <c r="F52" s="847"/>
      <c r="G52" s="847"/>
      <c r="J52" s="2445" t="s">
        <v>1427</v>
      </c>
      <c r="K52" s="2446">
        <v>72</v>
      </c>
      <c r="L52" s="2446">
        <v>600</v>
      </c>
      <c r="M52" s="877">
        <v>60000000</v>
      </c>
      <c r="N52" s="877">
        <v>10000000</v>
      </c>
      <c r="O52" s="877">
        <v>30000000</v>
      </c>
    </row>
    <row r="53" spans="2:15" ht="16.5">
      <c r="B53" s="723" t="str">
        <f>+B47</f>
        <v>Activo</v>
      </c>
      <c r="C53" s="729" t="str">
        <f>+C40</f>
        <v>1-2-10-007 Terrenos</v>
      </c>
      <c r="D53" s="709"/>
      <c r="E53" s="730"/>
      <c r="F53" s="847">
        <f>+G43</f>
        <v>60000000</v>
      </c>
      <c r="G53" s="847"/>
      <c r="J53" s="2449" t="s">
        <v>1428</v>
      </c>
      <c r="K53" s="2449"/>
      <c r="L53" s="2449"/>
      <c r="M53" s="2450">
        <f>+M52</f>
        <v>60000000</v>
      </c>
      <c r="N53" s="2450">
        <f>+N52</f>
        <v>10000000</v>
      </c>
      <c r="O53" s="2450">
        <f>+M53-N53</f>
        <v>50000000</v>
      </c>
    </row>
    <row r="54" spans="2:15" ht="16.5">
      <c r="B54" s="757" t="str">
        <f>+B48</f>
        <v>Patrimonio</v>
      </c>
      <c r="C54" s="729"/>
      <c r="D54" s="2429" t="str">
        <f>+D48</f>
        <v>2-3-01-004 Otras Reservas</v>
      </c>
      <c r="E54" s="762"/>
      <c r="F54" s="847"/>
      <c r="G54" s="847">
        <f>+F53</f>
        <v>60000000</v>
      </c>
      <c r="J54" s="1558" t="s">
        <v>109</v>
      </c>
      <c r="K54" s="1558"/>
      <c r="L54" s="1558"/>
      <c r="M54" s="1560">
        <f>+M53+M51+M49</f>
        <v>240000000</v>
      </c>
      <c r="N54" s="1560">
        <f>+N53+N51+N49</f>
        <v>77000000</v>
      </c>
      <c r="O54" s="1560">
        <f>+M54-N54</f>
        <v>163000000</v>
      </c>
    </row>
    <row r="55" spans="2:15" ht="16.5">
      <c r="B55" s="757"/>
      <c r="C55" s="729" t="s">
        <v>1721</v>
      </c>
      <c r="D55" s="709"/>
      <c r="E55" s="830"/>
      <c r="F55" s="847"/>
      <c r="G55" s="847"/>
      <c r="J55" s="2445"/>
      <c r="K55" s="2446"/>
      <c r="L55" s="2446"/>
      <c r="M55" s="2467"/>
      <c r="N55" s="2467"/>
      <c r="O55" s="2467"/>
    </row>
    <row r="56" spans="2:15" ht="16.899999999999999" thickBot="1">
      <c r="B56" s="1632"/>
      <c r="C56" s="2433"/>
      <c r="D56" s="2434"/>
      <c r="E56" s="2435"/>
      <c r="F56" s="2432"/>
      <c r="G56" s="2432"/>
      <c r="J56" s="2444" t="s">
        <v>928</v>
      </c>
      <c r="K56" s="2446"/>
      <c r="L56" s="2446"/>
      <c r="M56" s="2448"/>
      <c r="N56" s="2448"/>
      <c r="O56" s="2448"/>
    </row>
    <row r="57" spans="2:15">
      <c r="B57" s="789"/>
      <c r="C57" s="789"/>
      <c r="D57" s="789"/>
      <c r="E57" s="789"/>
      <c r="F57" s="789"/>
      <c r="G57" s="789"/>
      <c r="J57" s="2445" t="s">
        <v>1086</v>
      </c>
      <c r="K57" s="2446">
        <v>24</v>
      </c>
      <c r="L57" s="2446">
        <v>72</v>
      </c>
      <c r="M57" s="2452">
        <v>30000000</v>
      </c>
      <c r="N57" s="2452">
        <v>20000000</v>
      </c>
      <c r="O57" s="2452">
        <f>+M57-N57</f>
        <v>10000000</v>
      </c>
    </row>
    <row r="58" spans="2:15" ht="13.9" thickBot="1">
      <c r="B58" s="789"/>
      <c r="C58" s="789"/>
      <c r="D58" s="789"/>
      <c r="E58" s="789"/>
      <c r="F58" s="789"/>
      <c r="G58" s="789"/>
      <c r="J58" s="2468"/>
      <c r="K58" s="2469"/>
      <c r="L58" s="2469"/>
      <c r="M58" s="2470"/>
      <c r="N58" s="2470"/>
      <c r="O58" s="2470"/>
    </row>
    <row r="59" spans="2:15" ht="13.9" thickBot="1">
      <c r="B59" s="2111" t="s">
        <v>1722</v>
      </c>
      <c r="C59" s="2111"/>
      <c r="D59" s="2111"/>
      <c r="E59" s="885"/>
      <c r="J59" s="2485" t="s">
        <v>927</v>
      </c>
      <c r="K59" s="2486"/>
      <c r="L59" s="2486"/>
      <c r="M59" s="2487"/>
      <c r="N59" s="2487"/>
      <c r="O59" s="2488"/>
    </row>
    <row r="60" spans="2:15" ht="13.9" thickBot="1">
      <c r="J60" s="2489" t="s">
        <v>1087</v>
      </c>
      <c r="K60" s="2446">
        <v>24</v>
      </c>
      <c r="L60" s="2446">
        <v>72</v>
      </c>
      <c r="M60" s="877">
        <v>12000000</v>
      </c>
      <c r="N60" s="877">
        <v>4000000</v>
      </c>
      <c r="O60" s="2490">
        <f>+M60-N60</f>
        <v>8000000</v>
      </c>
    </row>
    <row r="61" spans="2:15" ht="16.899999999999999" thickBot="1">
      <c r="B61" s="709"/>
      <c r="C61" s="713" t="str">
        <f>+J20</f>
        <v>1-2-10-004 Edificaciones</v>
      </c>
      <c r="D61" s="714"/>
      <c r="E61" s="715" t="s">
        <v>1473</v>
      </c>
      <c r="F61" s="716" t="s">
        <v>1472</v>
      </c>
      <c r="G61" s="717" t="s">
        <v>935</v>
      </c>
      <c r="J61" s="2489" t="s">
        <v>1088</v>
      </c>
      <c r="K61" s="2446">
        <v>24</v>
      </c>
      <c r="L61" s="2446">
        <v>72</v>
      </c>
      <c r="M61" s="877">
        <v>10000000</v>
      </c>
      <c r="N61" s="877">
        <v>5000000</v>
      </c>
      <c r="O61" s="2490">
        <f>+M61-N61</f>
        <v>5000000</v>
      </c>
    </row>
    <row r="62" spans="2:15" ht="16.899999999999999" thickBot="1">
      <c r="B62" s="709"/>
      <c r="C62" s="709" t="str">
        <f>+J48</f>
        <v>Jorge Washington 2675, Antofagasta</v>
      </c>
      <c r="D62" s="709"/>
      <c r="E62" s="836">
        <f>+M49</f>
        <v>60000000</v>
      </c>
      <c r="F62" s="797"/>
      <c r="G62" s="798"/>
      <c r="J62" s="2491" t="s">
        <v>109</v>
      </c>
      <c r="K62" s="2492"/>
      <c r="L62" s="2492"/>
      <c r="M62" s="2493">
        <f>SUM(M60:M61)</f>
        <v>22000000</v>
      </c>
      <c r="N62" s="2494">
        <f>SUM(N60:N61)</f>
        <v>9000000</v>
      </c>
      <c r="O62" s="2495">
        <f>+M62-N62</f>
        <v>13000000</v>
      </c>
    </row>
    <row r="63" spans="2:15" ht="16.899999999999999" thickBot="1">
      <c r="B63" s="709"/>
      <c r="C63" s="709" t="str">
        <f>+J21</f>
        <v>1-2-10-008 Dep. Acum. de Edificaciones</v>
      </c>
      <c r="D63" s="709"/>
      <c r="E63" s="799">
        <f>-N49</f>
        <v>-35000000</v>
      </c>
      <c r="F63" s="727"/>
      <c r="G63" s="728"/>
      <c r="J63" s="1829"/>
      <c r="K63" s="1829"/>
      <c r="L63" s="1829"/>
      <c r="M63" s="1829"/>
      <c r="N63" s="1830"/>
      <c r="O63" s="1830"/>
    </row>
    <row r="64" spans="2:15" ht="16.899999999999999" thickBot="1">
      <c r="C64" s="1488" t="s">
        <v>1082</v>
      </c>
      <c r="D64" s="2453"/>
      <c r="E64" s="2454">
        <f>SUM(E62:E63)</f>
        <v>25000000</v>
      </c>
      <c r="F64" s="803">
        <f>+K122</f>
        <v>55000000</v>
      </c>
      <c r="G64" s="804">
        <f>+F64-E64</f>
        <v>30000000</v>
      </c>
      <c r="J64" s="2485" t="s">
        <v>930</v>
      </c>
      <c r="K64" s="2500"/>
      <c r="L64" s="2500"/>
      <c r="M64" s="2500"/>
      <c r="N64" s="2501"/>
      <c r="O64" s="2502"/>
    </row>
    <row r="65" spans="2:15">
      <c r="B65" s="789"/>
      <c r="C65" s="789"/>
      <c r="D65" s="789"/>
      <c r="E65" s="789"/>
      <c r="F65" s="789"/>
      <c r="G65" s="789"/>
      <c r="J65" s="2489" t="s">
        <v>1089</v>
      </c>
      <c r="K65" s="2446">
        <v>96</v>
      </c>
      <c r="L65" s="2446">
        <v>240</v>
      </c>
      <c r="M65" s="877">
        <v>275000000</v>
      </c>
      <c r="N65" s="877">
        <v>16000000</v>
      </c>
      <c r="O65" s="2503">
        <v>259000000</v>
      </c>
    </row>
    <row r="66" spans="2:15" ht="13.9" thickBot="1">
      <c r="B66" s="789"/>
      <c r="C66" s="789"/>
      <c r="D66" s="789"/>
      <c r="E66" s="789"/>
      <c r="F66" s="789"/>
      <c r="G66" s="789"/>
      <c r="J66" s="2504" t="s">
        <v>1341</v>
      </c>
      <c r="K66" s="2505"/>
      <c r="L66" s="2505"/>
      <c r="M66" s="2506">
        <f>+M65</f>
        <v>275000000</v>
      </c>
      <c r="N66" s="2506">
        <f>+N65</f>
        <v>16000000</v>
      </c>
      <c r="O66" s="2507">
        <f>+M66-N66</f>
        <v>259000000</v>
      </c>
    </row>
    <row r="67" spans="2:15" ht="16.899999999999999" thickBot="1">
      <c r="B67" s="2010" t="s">
        <v>1055</v>
      </c>
      <c r="C67" s="2177" t="s">
        <v>1052</v>
      </c>
      <c r="D67" s="2112"/>
      <c r="E67" s="2113"/>
      <c r="F67" s="1426" t="s">
        <v>1056</v>
      </c>
      <c r="G67" s="2455" t="s">
        <v>1057</v>
      </c>
      <c r="J67" s="2508"/>
      <c r="K67" s="2509"/>
      <c r="L67" s="2509"/>
      <c r="M67" s="2510"/>
      <c r="N67" s="2510"/>
      <c r="O67" s="2510"/>
    </row>
    <row r="68" spans="2:15" ht="16.5">
      <c r="B68" s="2456" t="s">
        <v>1718</v>
      </c>
      <c r="C68" s="865" t="s">
        <v>1058</v>
      </c>
      <c r="D68" s="1056">
        <v>12</v>
      </c>
      <c r="E68" s="1057" t="s">
        <v>1058</v>
      </c>
      <c r="F68" s="2457"/>
      <c r="G68" s="2458"/>
      <c r="J68" s="2485" t="s">
        <v>1090</v>
      </c>
      <c r="K68" s="2500"/>
      <c r="L68" s="2500"/>
      <c r="M68" s="2486"/>
      <c r="N68" s="2501"/>
      <c r="O68" s="2502"/>
    </row>
    <row r="69" spans="2:15" ht="16.899999999999999" thickBot="1">
      <c r="B69" s="2456" t="s">
        <v>295</v>
      </c>
      <c r="C69" s="2456" t="str">
        <f>+C63</f>
        <v>1-2-10-008 Dep. Acum. de Edificaciones</v>
      </c>
      <c r="D69" s="2459"/>
      <c r="E69" s="2458"/>
      <c r="F69" s="2460">
        <f>++G64</f>
        <v>30000000</v>
      </c>
      <c r="G69" s="2458"/>
      <c r="J69" s="2511" t="s">
        <v>1091</v>
      </c>
      <c r="K69" s="2512">
        <v>12</v>
      </c>
      <c r="L69" s="2512">
        <v>60</v>
      </c>
      <c r="M69" s="2494">
        <v>20000000</v>
      </c>
      <c r="N69" s="2494">
        <v>5000000</v>
      </c>
      <c r="O69" s="2495">
        <f>+M69-N69</f>
        <v>15000000</v>
      </c>
    </row>
    <row r="70" spans="2:15" ht="16.899999999999999" thickBot="1">
      <c r="B70" s="2456" t="s">
        <v>39</v>
      </c>
      <c r="C70" s="2456"/>
      <c r="D70" s="2459" t="str">
        <f>+'Bce Clasificado 31.12.2024'!H76</f>
        <v>2-3-01-004 Otras Reservas</v>
      </c>
      <c r="E70" s="2458"/>
      <c r="F70" s="2457"/>
      <c r="G70" s="2461">
        <f>+F69</f>
        <v>30000000</v>
      </c>
    </row>
    <row r="71" spans="2:15" ht="16.5">
      <c r="B71" s="2456"/>
      <c r="C71" s="2456"/>
      <c r="D71" s="2459"/>
      <c r="E71" s="2458"/>
      <c r="F71" s="2457"/>
      <c r="G71" s="2458"/>
      <c r="J71" s="2098" t="s">
        <v>1658</v>
      </c>
      <c r="K71" s="2099"/>
      <c r="L71" s="2099"/>
      <c r="M71" s="2099"/>
      <c r="N71" s="2099"/>
      <c r="O71" s="2100"/>
    </row>
    <row r="72" spans="2:15" ht="16.899999999999999" thickBot="1">
      <c r="B72" s="2456"/>
      <c r="C72" s="2456" t="s">
        <v>1723</v>
      </c>
      <c r="D72" s="2459"/>
      <c r="E72" s="2458"/>
      <c r="F72" s="2457"/>
      <c r="G72" s="2458"/>
      <c r="J72" s="2101"/>
      <c r="K72" s="2102"/>
      <c r="L72" s="2102"/>
      <c r="M72" s="2102"/>
      <c r="N72" s="2102"/>
      <c r="O72" s="2103"/>
    </row>
    <row r="73" spans="2:15" ht="16.899999999999999" thickBot="1">
      <c r="B73" s="2433"/>
      <c r="C73" s="2433"/>
      <c r="D73" s="2434"/>
      <c r="E73" s="2435"/>
      <c r="F73" s="2432"/>
      <c r="G73" s="2435"/>
    </row>
    <row r="74" spans="2:15" ht="13.9" thickBot="1">
      <c r="B74" s="789"/>
      <c r="C74" s="789"/>
      <c r="D74" s="789"/>
      <c r="E74" s="789"/>
      <c r="F74" s="789"/>
      <c r="G74" s="789"/>
      <c r="J74" s="2123" t="s">
        <v>1052</v>
      </c>
      <c r="K74" s="1558" t="s">
        <v>1081</v>
      </c>
      <c r="L74" s="1558" t="s">
        <v>1081</v>
      </c>
      <c r="M74" s="1558" t="s">
        <v>479</v>
      </c>
      <c r="N74" s="1558" t="s">
        <v>113</v>
      </c>
      <c r="O74" s="1558" t="s">
        <v>1082</v>
      </c>
    </row>
    <row r="75" spans="2:15" ht="16.899999999999999" thickBot="1">
      <c r="B75" s="789"/>
      <c r="C75" s="713" t="str">
        <f>+C61</f>
        <v>1-2-10-004 Edificaciones</v>
      </c>
      <c r="D75" s="714"/>
      <c r="E75" s="715" t="s">
        <v>1473</v>
      </c>
      <c r="F75" s="2465" t="s">
        <v>1081</v>
      </c>
      <c r="G75" s="2466" t="s">
        <v>1093</v>
      </c>
      <c r="J75" s="2123"/>
      <c r="K75" s="1558" t="s">
        <v>1083</v>
      </c>
      <c r="L75" s="1558" t="s">
        <v>1084</v>
      </c>
      <c r="M75" s="1558"/>
      <c r="N75" s="1558" t="s">
        <v>1085</v>
      </c>
      <c r="O75" s="1558"/>
    </row>
    <row r="76" spans="2:15" ht="16.899999999999999" thickBot="1">
      <c r="B76" s="789"/>
      <c r="C76" s="709" t="str">
        <f>+C62</f>
        <v>Jorge Washington 2675, Antofagasta</v>
      </c>
      <c r="D76" s="709"/>
      <c r="E76" s="836">
        <f>+E62</f>
        <v>60000000</v>
      </c>
      <c r="F76" s="1632">
        <f>+L122</f>
        <v>120</v>
      </c>
      <c r="G76" s="2463">
        <f>+N122</f>
        <v>16500000</v>
      </c>
      <c r="J76" s="1539" t="s">
        <v>276</v>
      </c>
      <c r="K76" s="1540"/>
      <c r="L76" s="1540"/>
      <c r="M76" s="1540"/>
      <c r="N76" s="1540"/>
      <c r="O76" s="1540"/>
    </row>
    <row r="77" spans="2:15" s="1549" customFormat="1" ht="16.899999999999999" thickBot="1">
      <c r="B77" s="789"/>
      <c r="C77" s="709" t="str">
        <f>+C63</f>
        <v>1-2-10-008 Dep. Acum. de Edificaciones</v>
      </c>
      <c r="D77" s="709"/>
      <c r="E77" s="799">
        <f>+E63+F69</f>
        <v>-5000000</v>
      </c>
      <c r="F77" s="1822" t="s">
        <v>1741</v>
      </c>
      <c r="G77" s="2513">
        <f>+G70</f>
        <v>30000000</v>
      </c>
      <c r="J77" s="1540" t="s">
        <v>1419</v>
      </c>
      <c r="K77" s="1541">
        <v>0</v>
      </c>
      <c r="L77" s="1541">
        <v>0</v>
      </c>
      <c r="M77" s="1542">
        <v>140000000</v>
      </c>
      <c r="N77" s="1543">
        <v>0</v>
      </c>
      <c r="O77" s="1542">
        <f>+M77</f>
        <v>140000000</v>
      </c>
    </row>
    <row r="78" spans="2:15" s="1549" customFormat="1" ht="16.899999999999999" thickBot="1">
      <c r="B78" s="789"/>
      <c r="C78" s="1488" t="s">
        <v>1082</v>
      </c>
      <c r="D78" s="2453"/>
      <c r="E78" s="2454">
        <f>SUM(E76:E77)</f>
        <v>55000000</v>
      </c>
      <c r="F78" s="789"/>
      <c r="G78" s="789"/>
      <c r="J78" s="1544" t="s">
        <v>1043</v>
      </c>
      <c r="K78" s="1544"/>
      <c r="L78" s="1544"/>
      <c r="M78" s="1545">
        <v>20000000</v>
      </c>
      <c r="N78" s="1544"/>
      <c r="O78" s="1545">
        <f>+M78</f>
        <v>20000000</v>
      </c>
    </row>
    <row r="79" spans="2:15">
      <c r="B79" s="789"/>
      <c r="C79" s="789"/>
      <c r="D79" s="789"/>
      <c r="E79" s="789"/>
      <c r="F79" s="789"/>
      <c r="G79" s="789"/>
      <c r="J79" s="1827" t="s">
        <v>1420</v>
      </c>
      <c r="K79" s="1827"/>
      <c r="L79" s="1827"/>
      <c r="M79" s="1828">
        <f>+M77+M78</f>
        <v>160000000</v>
      </c>
      <c r="N79" s="1827"/>
      <c r="O79" s="1828">
        <f>+O77+O78</f>
        <v>160000000</v>
      </c>
    </row>
    <row r="80" spans="2:15" ht="13.9" thickBot="1">
      <c r="B80" s="789"/>
      <c r="C80" s="789"/>
      <c r="D80" s="789"/>
      <c r="E80" s="789"/>
      <c r="F80" s="789"/>
      <c r="G80" s="789"/>
      <c r="J80" s="1548" t="s">
        <v>1421</v>
      </c>
      <c r="K80" s="1174">
        <v>0</v>
      </c>
      <c r="L80" s="1174">
        <v>0</v>
      </c>
      <c r="M80" s="881">
        <f>170000000-30000000</f>
        <v>140000000</v>
      </c>
      <c r="N80" s="1826">
        <v>0</v>
      </c>
      <c r="O80" s="881">
        <f>170000000-30000000</f>
        <v>140000000</v>
      </c>
    </row>
    <row r="81" spans="2:15" ht="13.9" thickBot="1">
      <c r="B81" s="2111" t="s">
        <v>1722</v>
      </c>
      <c r="C81" s="2111"/>
      <c r="D81" s="2111"/>
      <c r="E81" s="885"/>
      <c r="J81" s="1544" t="s">
        <v>1043</v>
      </c>
      <c r="K81" s="1544"/>
      <c r="L81" s="1544"/>
      <c r="M81" s="1545">
        <v>30000000</v>
      </c>
      <c r="N81" s="1544"/>
      <c r="O81" s="1545">
        <v>30000000</v>
      </c>
    </row>
    <row r="82" spans="2:15" ht="13.9" thickBot="1">
      <c r="J82" s="1827" t="s">
        <v>1340</v>
      </c>
      <c r="K82" s="1827"/>
      <c r="L82" s="1827"/>
      <c r="M82" s="1828">
        <f>+M80+M81</f>
        <v>170000000</v>
      </c>
      <c r="N82" s="1827"/>
      <c r="O82" s="1828">
        <f>+O80+O81</f>
        <v>170000000</v>
      </c>
    </row>
    <row r="83" spans="2:15" ht="16.899999999999999" thickBot="1">
      <c r="B83" s="709"/>
      <c r="C83" s="713" t="str">
        <f>+C61</f>
        <v>1-2-10-004 Edificaciones</v>
      </c>
      <c r="D83" s="714"/>
      <c r="E83" s="715" t="s">
        <v>1473</v>
      </c>
      <c r="F83" s="716" t="s">
        <v>1472</v>
      </c>
      <c r="G83" s="717" t="s">
        <v>935</v>
      </c>
      <c r="J83" s="1548" t="s">
        <v>1422</v>
      </c>
      <c r="K83" s="1174">
        <v>0</v>
      </c>
      <c r="L83" s="1174">
        <v>0</v>
      </c>
      <c r="M83" s="881">
        <v>125000000</v>
      </c>
      <c r="N83" s="1826">
        <v>0</v>
      </c>
      <c r="O83" s="881">
        <v>125000000</v>
      </c>
    </row>
    <row r="84" spans="2:15" ht="16.5">
      <c r="B84" s="709"/>
      <c r="C84" s="709" t="str">
        <f>+J51</f>
        <v>Total Chillán</v>
      </c>
      <c r="D84" s="709"/>
      <c r="E84" s="836">
        <f>+M51</f>
        <v>120000000</v>
      </c>
      <c r="F84" s="797"/>
      <c r="G84" s="798"/>
      <c r="J84" s="1544" t="s">
        <v>1043</v>
      </c>
      <c r="K84" s="1544"/>
      <c r="L84" s="1544"/>
      <c r="M84" s="1545">
        <v>25000000</v>
      </c>
      <c r="N84" s="1544"/>
      <c r="O84" s="1545">
        <v>25000000</v>
      </c>
    </row>
    <row r="85" spans="2:15" ht="16.899999999999999" thickBot="1">
      <c r="B85" s="709"/>
      <c r="C85" s="709" t="str">
        <f>+C63</f>
        <v>1-2-10-008 Dep. Acum. de Edificaciones</v>
      </c>
      <c r="D85" s="709"/>
      <c r="E85" s="799">
        <f>-N51</f>
        <v>-32000000</v>
      </c>
      <c r="F85" s="727"/>
      <c r="G85" s="728"/>
      <c r="J85" s="1827" t="s">
        <v>1423</v>
      </c>
      <c r="K85" s="1827"/>
      <c r="L85" s="1827"/>
      <c r="M85" s="1828">
        <f>+M83+M84</f>
        <v>150000000</v>
      </c>
      <c r="N85" s="1827"/>
      <c r="O85" s="1828">
        <f>+O83+O84</f>
        <v>150000000</v>
      </c>
    </row>
    <row r="86" spans="2:15" ht="16.899999999999999" thickBot="1">
      <c r="C86" s="1488" t="s">
        <v>1082</v>
      </c>
      <c r="D86" s="2453"/>
      <c r="E86" s="2454">
        <f>SUM(E84:E85)</f>
        <v>88000000</v>
      </c>
      <c r="F86" s="803">
        <f>+K123</f>
        <v>210000000</v>
      </c>
      <c r="G86" s="804">
        <f>+F86-E86</f>
        <v>122000000</v>
      </c>
      <c r="J86" s="1558" t="s">
        <v>109</v>
      </c>
      <c r="K86" s="1558"/>
      <c r="L86" s="1558"/>
      <c r="M86" s="1559">
        <f>+M85+M82+M79</f>
        <v>480000000</v>
      </c>
      <c r="N86" s="1560"/>
      <c r="O86" s="1559">
        <f>+O85+O82+O79</f>
        <v>480000000</v>
      </c>
    </row>
    <row r="87" spans="2:15">
      <c r="B87" s="789"/>
      <c r="C87" s="789"/>
      <c r="D87" s="789"/>
      <c r="E87" s="789"/>
      <c r="F87" s="789"/>
      <c r="G87" s="789"/>
      <c r="J87" s="1539"/>
      <c r="K87" s="1539"/>
      <c r="L87" s="1539"/>
      <c r="M87" s="1539"/>
      <c r="N87" s="1546"/>
      <c r="O87" s="1546"/>
    </row>
    <row r="88" spans="2:15" ht="13.9" thickBot="1">
      <c r="B88" s="789"/>
      <c r="C88" s="789"/>
      <c r="D88" s="789"/>
      <c r="E88" s="789"/>
      <c r="F88" s="789"/>
      <c r="G88" s="789"/>
      <c r="J88" s="1539" t="s">
        <v>929</v>
      </c>
      <c r="K88" s="1540"/>
      <c r="L88" s="1540"/>
      <c r="M88" s="1543"/>
      <c r="N88" s="1543"/>
      <c r="O88" s="1543"/>
    </row>
    <row r="89" spans="2:15" ht="16.899999999999999" thickBot="1">
      <c r="B89" s="2010" t="s">
        <v>1055</v>
      </c>
      <c r="C89" s="2177" t="s">
        <v>1052</v>
      </c>
      <c r="D89" s="2112"/>
      <c r="E89" s="2113"/>
      <c r="F89" s="1426" t="s">
        <v>1056</v>
      </c>
      <c r="G89" s="2455" t="s">
        <v>1057</v>
      </c>
      <c r="J89" s="1548" t="s">
        <v>1424</v>
      </c>
      <c r="K89" s="1174">
        <v>4</v>
      </c>
      <c r="L89" s="1174">
        <v>16</v>
      </c>
      <c r="M89" s="881">
        <v>50000000</v>
      </c>
      <c r="N89" s="1825">
        <v>12500000</v>
      </c>
      <c r="O89" s="881"/>
    </row>
    <row r="90" spans="2:15" ht="16.5">
      <c r="B90" s="2456" t="s">
        <v>1718</v>
      </c>
      <c r="C90" s="865" t="s">
        <v>1058</v>
      </c>
      <c r="D90" s="1056">
        <v>13</v>
      </c>
      <c r="E90" s="1057" t="s">
        <v>1058</v>
      </c>
      <c r="F90" s="2457"/>
      <c r="G90" s="2458"/>
      <c r="J90" s="1544" t="s">
        <v>1043</v>
      </c>
      <c r="K90" s="1544"/>
      <c r="L90" s="1544"/>
      <c r="M90" s="1545">
        <v>11000000</v>
      </c>
      <c r="N90" s="1545">
        <v>2750000</v>
      </c>
      <c r="O90" s="1545"/>
    </row>
    <row r="91" spans="2:15" ht="16.5">
      <c r="B91" s="2456" t="s">
        <v>295</v>
      </c>
      <c r="C91" s="2456" t="str">
        <f>+C85</f>
        <v>1-2-10-008 Dep. Acum. de Edificaciones</v>
      </c>
      <c r="D91" s="2459"/>
      <c r="E91" s="2458"/>
      <c r="F91" s="2460">
        <f>-E85</f>
        <v>32000000</v>
      </c>
      <c r="G91" s="2458"/>
      <c r="J91" s="1827" t="s">
        <v>1429</v>
      </c>
      <c r="K91" s="1827"/>
      <c r="L91" s="1827"/>
      <c r="M91" s="1828">
        <f>+M89+M90</f>
        <v>61000000</v>
      </c>
      <c r="N91" s="1828">
        <f>+N89+N90</f>
        <v>15250000</v>
      </c>
      <c r="O91" s="1828">
        <f>+M91-N91</f>
        <v>45750000</v>
      </c>
    </row>
    <row r="92" spans="2:15" ht="16.5">
      <c r="B92" s="2456" t="s">
        <v>294</v>
      </c>
      <c r="C92" s="2456" t="str">
        <f>+C83</f>
        <v>1-2-10-004 Edificaciones</v>
      </c>
      <c r="D92" s="2459"/>
      <c r="E92" s="2458"/>
      <c r="F92" s="2460">
        <f>+G86-F91</f>
        <v>90000000</v>
      </c>
      <c r="G92" s="2461"/>
      <c r="J92" s="1548" t="s">
        <v>1425</v>
      </c>
      <c r="K92" s="1174">
        <v>4</v>
      </c>
      <c r="L92" s="1174">
        <v>16</v>
      </c>
      <c r="M92" s="881">
        <v>110000000</v>
      </c>
      <c r="N92" s="881">
        <v>27500000</v>
      </c>
      <c r="O92" s="881"/>
    </row>
    <row r="93" spans="2:15" ht="16.5">
      <c r="B93" s="2456" t="s">
        <v>39</v>
      </c>
      <c r="C93" s="2456"/>
      <c r="D93" s="2459" t="str">
        <f>+D54</f>
        <v>2-3-01-004 Otras Reservas</v>
      </c>
      <c r="E93" s="2458"/>
      <c r="F93" s="2457"/>
      <c r="G93" s="2461">
        <f>+F91+F92</f>
        <v>122000000</v>
      </c>
      <c r="J93" s="1544" t="s">
        <v>1043</v>
      </c>
      <c r="K93" s="1544"/>
      <c r="L93" s="1544"/>
      <c r="M93" s="1545">
        <v>24200000</v>
      </c>
      <c r="N93" s="1545">
        <v>6050000</v>
      </c>
      <c r="O93" s="1545"/>
    </row>
    <row r="94" spans="2:15" ht="16.5">
      <c r="B94" s="2456"/>
      <c r="C94" s="2456" t="s">
        <v>1724</v>
      </c>
      <c r="D94" s="2459"/>
      <c r="E94" s="2458"/>
      <c r="F94" s="2457"/>
      <c r="G94" s="2458"/>
      <c r="J94" s="1827" t="s">
        <v>1426</v>
      </c>
      <c r="K94" s="1827"/>
      <c r="L94" s="1827"/>
      <c r="M94" s="1828">
        <f>+M92+M93</f>
        <v>134200000</v>
      </c>
      <c r="N94" s="1828">
        <f>+N92+N93</f>
        <v>33550000</v>
      </c>
      <c r="O94" s="1828">
        <f>+M94-N94</f>
        <v>100650000</v>
      </c>
    </row>
    <row r="95" spans="2:15" ht="16.899999999999999" thickBot="1">
      <c r="B95" s="2433"/>
      <c r="C95" s="2433"/>
      <c r="D95" s="2434"/>
      <c r="E95" s="2435"/>
      <c r="F95" s="2432"/>
      <c r="G95" s="2435"/>
      <c r="J95" s="1548" t="s">
        <v>1427</v>
      </c>
      <c r="K95" s="1174">
        <v>3</v>
      </c>
      <c r="L95" s="1174">
        <v>16</v>
      </c>
      <c r="M95" s="881">
        <v>56000000</v>
      </c>
      <c r="N95" s="881">
        <v>6750000</v>
      </c>
      <c r="O95" s="881"/>
    </row>
    <row r="96" spans="2:15" ht="13.9" thickBot="1">
      <c r="B96" s="789"/>
      <c r="C96" s="789"/>
      <c r="D96" s="789"/>
      <c r="E96" s="789"/>
      <c r="F96" s="789"/>
      <c r="G96" s="789"/>
      <c r="J96" s="1544" t="s">
        <v>1043</v>
      </c>
      <c r="K96" s="1544"/>
      <c r="L96" s="1544"/>
      <c r="M96" s="1545">
        <v>7920000</v>
      </c>
      <c r="N96" s="1545">
        <v>1485000</v>
      </c>
      <c r="O96" s="1545"/>
    </row>
    <row r="97" spans="2:15" ht="16.899999999999999" thickBot="1">
      <c r="B97" s="789"/>
      <c r="C97" s="713" t="str">
        <f>+C83</f>
        <v>1-2-10-004 Edificaciones</v>
      </c>
      <c r="D97" s="714"/>
      <c r="E97" s="715" t="s">
        <v>1473</v>
      </c>
      <c r="F97" s="2465" t="s">
        <v>1081</v>
      </c>
      <c r="G97" s="2466" t="s">
        <v>1093</v>
      </c>
      <c r="J97" s="1827" t="s">
        <v>1428</v>
      </c>
      <c r="K97" s="1827"/>
      <c r="L97" s="1827"/>
      <c r="M97" s="1828">
        <f>+M95+M96</f>
        <v>63920000</v>
      </c>
      <c r="N97" s="1828">
        <f>+N95+N96</f>
        <v>8235000</v>
      </c>
      <c r="O97" s="1828">
        <f>+M97-N97</f>
        <v>55685000</v>
      </c>
    </row>
    <row r="98" spans="2:15" ht="16.899999999999999" thickBot="1">
      <c r="B98" s="789"/>
      <c r="C98" s="709" t="str">
        <f>+C84</f>
        <v>Total Chillán</v>
      </c>
      <c r="D98" s="709"/>
      <c r="E98" s="836">
        <f>+E84+F92</f>
        <v>210000000</v>
      </c>
      <c r="F98" s="1632">
        <f>+L123</f>
        <v>600</v>
      </c>
      <c r="G98" s="2463">
        <f>+N123</f>
        <v>63000000</v>
      </c>
      <c r="J98" s="1558" t="s">
        <v>109</v>
      </c>
      <c r="K98" s="1558"/>
      <c r="L98" s="1558"/>
      <c r="M98" s="1560">
        <f>+M97+M94+M91</f>
        <v>259120000</v>
      </c>
      <c r="N98" s="1560">
        <f>+N97+N94+N91</f>
        <v>57035000</v>
      </c>
      <c r="O98" s="1560">
        <f>+M98-N98</f>
        <v>202085000</v>
      </c>
    </row>
    <row r="99" spans="2:15" ht="16.899999999999999" thickBot="1">
      <c r="B99" s="789"/>
      <c r="C99" s="709" t="str">
        <f>+C85</f>
        <v>1-2-10-008 Dep. Acum. de Edificaciones</v>
      </c>
      <c r="D99" s="709"/>
      <c r="E99" s="799">
        <f>+E85+F91</f>
        <v>0</v>
      </c>
      <c r="F99" s="2514" t="s">
        <v>1741</v>
      </c>
      <c r="G99" s="2513">
        <f>+G93</f>
        <v>122000000</v>
      </c>
      <c r="J99" s="1540"/>
      <c r="K99" s="1541"/>
      <c r="L99" s="1541"/>
      <c r="M99" s="1546"/>
      <c r="N99" s="1546"/>
      <c r="O99" s="1546"/>
    </row>
    <row r="100" spans="2:15" ht="16.899999999999999" thickBot="1">
      <c r="B100" s="789"/>
      <c r="C100" s="1488" t="s">
        <v>1082</v>
      </c>
      <c r="D100" s="2453"/>
      <c r="E100" s="2454">
        <f>SUM(E98:E99)</f>
        <v>210000000</v>
      </c>
      <c r="F100" s="789"/>
      <c r="G100" s="789"/>
      <c r="J100" s="1539" t="s">
        <v>928</v>
      </c>
      <c r="K100" s="2114" t="s">
        <v>1659</v>
      </c>
      <c r="L100" s="2115"/>
      <c r="M100" s="2115"/>
      <c r="N100" s="2115"/>
      <c r="O100" s="2116"/>
    </row>
    <row r="101" spans="2:15">
      <c r="B101" s="789"/>
      <c r="C101" s="789"/>
      <c r="D101" s="789"/>
      <c r="E101" s="789"/>
      <c r="F101" s="789"/>
      <c r="G101" s="789"/>
      <c r="J101" s="1540"/>
      <c r="K101" s="1541"/>
      <c r="L101" s="1541"/>
      <c r="M101" s="1546"/>
      <c r="N101" s="1546"/>
      <c r="O101" s="1546"/>
    </row>
    <row r="102" spans="2:15" ht="13.9" thickBot="1">
      <c r="B102" s="789"/>
      <c r="C102" s="789"/>
      <c r="D102" s="789"/>
      <c r="E102" s="789"/>
      <c r="F102" s="789"/>
      <c r="G102" s="789"/>
      <c r="J102" s="1106" t="s">
        <v>927</v>
      </c>
      <c r="K102" s="2114" t="s">
        <v>1659</v>
      </c>
      <c r="L102" s="2115"/>
      <c r="M102" s="2115"/>
      <c r="N102" s="2115"/>
      <c r="O102" s="2116"/>
    </row>
    <row r="103" spans="2:15" ht="13.9" thickBot="1">
      <c r="B103" s="2111" t="s">
        <v>1722</v>
      </c>
      <c r="C103" s="2111"/>
      <c r="D103" s="2111"/>
      <c r="E103" s="885"/>
      <c r="J103" s="1539"/>
      <c r="K103" s="1539"/>
      <c r="L103" s="1539"/>
      <c r="M103" s="1539"/>
      <c r="N103" s="1546"/>
      <c r="O103" s="1546"/>
    </row>
    <row r="104" spans="2:15" ht="13.9" thickBot="1">
      <c r="J104" s="1539" t="s">
        <v>930</v>
      </c>
      <c r="K104" s="1539"/>
      <c r="L104" s="1539"/>
      <c r="M104" s="1539"/>
      <c r="N104" s="1543"/>
      <c r="O104" s="1543"/>
    </row>
    <row r="105" spans="2:15" ht="16.899999999999999" thickBot="1">
      <c r="B105" s="709"/>
      <c r="C105" s="713" t="str">
        <f>+C83</f>
        <v>1-2-10-004 Edificaciones</v>
      </c>
      <c r="D105" s="714"/>
      <c r="E105" s="715" t="s">
        <v>1473</v>
      </c>
      <c r="F105" s="716" t="s">
        <v>1472</v>
      </c>
      <c r="G105" s="717" t="s">
        <v>935</v>
      </c>
      <c r="J105" s="1540" t="s">
        <v>1089</v>
      </c>
      <c r="K105" s="1541">
        <v>96</v>
      </c>
      <c r="L105" s="1541">
        <v>240</v>
      </c>
      <c r="M105" s="1477">
        <v>260000000</v>
      </c>
      <c r="N105" s="1477">
        <v>15000000</v>
      </c>
      <c r="O105" s="1476"/>
    </row>
    <row r="106" spans="2:15" ht="16.5">
      <c r="B106" s="709"/>
      <c r="C106" s="709" t="str">
        <f>+J52</f>
        <v>Walter Schmidt 425, Valdivia</v>
      </c>
      <c r="D106" s="709"/>
      <c r="E106" s="836">
        <f>+M53</f>
        <v>60000000</v>
      </c>
      <c r="F106" s="797"/>
      <c r="G106" s="798"/>
      <c r="J106" s="1544" t="s">
        <v>1043</v>
      </c>
      <c r="K106" s="1544"/>
      <c r="L106" s="1544"/>
      <c r="M106" s="1545">
        <v>15000000</v>
      </c>
      <c r="N106" s="1545">
        <v>1000000</v>
      </c>
      <c r="O106" s="1545"/>
    </row>
    <row r="107" spans="2:15" ht="16.899999999999999" thickBot="1">
      <c r="B107" s="709"/>
      <c r="C107" s="709" t="str">
        <f>+C99</f>
        <v>1-2-10-008 Dep. Acum. de Edificaciones</v>
      </c>
      <c r="D107" s="709"/>
      <c r="E107" s="799">
        <f>-N53</f>
        <v>-10000000</v>
      </c>
      <c r="F107" s="727"/>
      <c r="G107" s="728"/>
      <c r="J107" s="1827" t="s">
        <v>1341</v>
      </c>
      <c r="K107" s="1544"/>
      <c r="L107" s="1544"/>
      <c r="M107" s="1831">
        <f>+M105+M106</f>
        <v>275000000</v>
      </c>
      <c r="N107" s="1831">
        <f>+N105+N106</f>
        <v>16000000</v>
      </c>
      <c r="O107" s="1831">
        <f>+M107-N107</f>
        <v>259000000</v>
      </c>
    </row>
    <row r="108" spans="2:15" ht="16.899999999999999" thickBot="1">
      <c r="C108" s="1488" t="s">
        <v>1082</v>
      </c>
      <c r="D108" s="2453"/>
      <c r="E108" s="2454">
        <f>SUM(E106:E107)</f>
        <v>50000000</v>
      </c>
      <c r="F108" s="803">
        <f>+K124</f>
        <v>20000000</v>
      </c>
      <c r="G108" s="804">
        <f>+F108-E108</f>
        <v>-30000000</v>
      </c>
      <c r="J108" s="1540"/>
      <c r="K108" s="1541"/>
      <c r="L108" s="1541"/>
      <c r="M108" s="1546"/>
      <c r="N108" s="1546"/>
      <c r="O108" s="1546"/>
    </row>
    <row r="109" spans="2:15">
      <c r="B109" s="789"/>
      <c r="C109" s="789"/>
      <c r="D109" s="789"/>
      <c r="E109" s="789"/>
      <c r="F109" s="789"/>
      <c r="G109" s="789"/>
      <c r="J109" s="1539" t="s">
        <v>1090</v>
      </c>
      <c r="K109" s="2114" t="s">
        <v>1659</v>
      </c>
      <c r="L109" s="2115"/>
      <c r="M109" s="2115"/>
      <c r="N109" s="2115"/>
      <c r="O109" s="2116"/>
    </row>
    <row r="110" spans="2:15" ht="13.9" thickBot="1">
      <c r="B110" s="789"/>
      <c r="C110" s="789"/>
      <c r="D110" s="789"/>
      <c r="E110" s="789"/>
      <c r="F110" s="789"/>
      <c r="G110" s="789"/>
    </row>
    <row r="111" spans="2:15" ht="16.899999999999999" thickBot="1">
      <c r="B111" s="2010" t="s">
        <v>1055</v>
      </c>
      <c r="C111" s="2177" t="s">
        <v>1052</v>
      </c>
      <c r="D111" s="2112"/>
      <c r="E111" s="2113"/>
      <c r="F111" s="1426" t="s">
        <v>1056</v>
      </c>
      <c r="G111" s="2455" t="s">
        <v>1057</v>
      </c>
      <c r="J111" s="2098" t="s">
        <v>1660</v>
      </c>
      <c r="K111" s="2099"/>
      <c r="L111" s="2099"/>
      <c r="M111" s="2099"/>
      <c r="N111" s="2099"/>
      <c r="O111" s="2100"/>
    </row>
    <row r="112" spans="2:15" ht="16.899999999999999" thickBot="1">
      <c r="B112" s="2456" t="s">
        <v>1718</v>
      </c>
      <c r="C112" s="865" t="s">
        <v>1058</v>
      </c>
      <c r="D112" s="1056">
        <v>14</v>
      </c>
      <c r="E112" s="1057" t="s">
        <v>1058</v>
      </c>
      <c r="F112" s="2457"/>
      <c r="G112" s="2458"/>
      <c r="J112" s="2101"/>
      <c r="K112" s="2102"/>
      <c r="L112" s="2102"/>
      <c r="M112" s="2102"/>
      <c r="N112" s="2102"/>
      <c r="O112" s="2103"/>
    </row>
    <row r="113" spans="2:15" ht="16.899999999999999" thickBot="1">
      <c r="B113" s="2456" t="s">
        <v>1707</v>
      </c>
      <c r="C113" s="2456" t="str">
        <f>+'Bce Clasificado 31.12.2024'!B174</f>
        <v>4-1-21-001 Deterioro Propiedades, Plantas y Equipos</v>
      </c>
      <c r="D113" s="2459"/>
      <c r="E113" s="2458"/>
      <c r="F113" s="2460">
        <f>+G114</f>
        <v>30000000</v>
      </c>
      <c r="G113" s="2458"/>
    </row>
    <row r="114" spans="2:15" ht="16.5">
      <c r="B114" s="2456" t="s">
        <v>295</v>
      </c>
      <c r="C114" s="2456"/>
      <c r="D114" s="2459" t="str">
        <f>+C107</f>
        <v>1-2-10-008 Dep. Acum. de Edificaciones</v>
      </c>
      <c r="E114" s="2458"/>
      <c r="F114" s="2460"/>
      <c r="G114" s="2461">
        <f>-G108</f>
        <v>30000000</v>
      </c>
      <c r="J114" s="2104" t="s">
        <v>1052</v>
      </c>
      <c r="K114" s="1637" t="s">
        <v>1092</v>
      </c>
      <c r="L114" s="1635" t="s">
        <v>1081</v>
      </c>
      <c r="M114" s="2124"/>
      <c r="N114" s="2126" t="s">
        <v>1093</v>
      </c>
      <c r="O114" s="1549"/>
    </row>
    <row r="115" spans="2:15" ht="16.899999999999999" thickBot="1">
      <c r="B115" s="2456"/>
      <c r="C115" s="2456"/>
      <c r="D115" s="2459"/>
      <c r="E115" s="2458"/>
      <c r="F115" s="2457"/>
      <c r="G115" s="2461"/>
      <c r="J115" s="2105"/>
      <c r="K115" s="1638" t="s">
        <v>1094</v>
      </c>
      <c r="L115" s="1636" t="s">
        <v>1084</v>
      </c>
      <c r="M115" s="2125"/>
      <c r="N115" s="2127"/>
      <c r="O115" s="1549"/>
    </row>
    <row r="116" spans="2:15" ht="16.5">
      <c r="B116" s="2456"/>
      <c r="C116" s="2456" t="s">
        <v>1725</v>
      </c>
      <c r="D116" s="2459"/>
      <c r="E116" s="2458"/>
      <c r="F116" s="2457"/>
      <c r="G116" s="2458"/>
      <c r="J116" s="2527" t="s">
        <v>276</v>
      </c>
      <c r="K116" s="2528"/>
      <c r="L116" s="2528"/>
      <c r="M116" s="2528"/>
      <c r="N116" s="2528"/>
    </row>
    <row r="117" spans="2:15" ht="16.899999999999999" thickBot="1">
      <c r="B117" s="2433"/>
      <c r="C117" s="2433"/>
      <c r="D117" s="2434"/>
      <c r="E117" s="2435"/>
      <c r="F117" s="2432"/>
      <c r="G117" s="2435"/>
      <c r="J117" s="2529" t="s">
        <v>1419</v>
      </c>
      <c r="K117" s="2530">
        <v>270000000</v>
      </c>
      <c r="L117" s="2531"/>
      <c r="M117" s="2531"/>
      <c r="N117" s="2531"/>
    </row>
    <row r="118" spans="2:15" ht="13.9" thickBot="1">
      <c r="B118" s="789"/>
      <c r="C118" s="789"/>
      <c r="D118" s="789"/>
      <c r="E118" s="789"/>
      <c r="F118" s="789"/>
      <c r="G118" s="789"/>
      <c r="J118" s="2529" t="s">
        <v>1421</v>
      </c>
      <c r="K118" s="2530">
        <v>100000000</v>
      </c>
      <c r="L118" s="2531"/>
      <c r="M118" s="2531"/>
      <c r="N118" s="2531"/>
    </row>
    <row r="119" spans="2:15" ht="16.899999999999999" thickBot="1">
      <c r="B119" s="789"/>
      <c r="C119" s="713" t="str">
        <f>+C105</f>
        <v>1-2-10-004 Edificaciones</v>
      </c>
      <c r="D119" s="714"/>
      <c r="E119" s="715" t="s">
        <v>1473</v>
      </c>
      <c r="F119" s="2465" t="s">
        <v>1081</v>
      </c>
      <c r="G119" s="2466" t="s">
        <v>1093</v>
      </c>
      <c r="J119" s="2529" t="str">
        <f>+J43</f>
        <v>Errázuriz 2312, Valparaíso</v>
      </c>
      <c r="K119" s="2530">
        <v>210000000</v>
      </c>
      <c r="L119" s="2531"/>
      <c r="M119" s="2531"/>
      <c r="N119" s="2531"/>
    </row>
    <row r="120" spans="2:15" ht="16.899999999999999" thickBot="1">
      <c r="B120" s="789"/>
      <c r="C120" s="709" t="str">
        <f>+C106</f>
        <v>Walter Schmidt 425, Valdivia</v>
      </c>
      <c r="D120" s="709"/>
      <c r="E120" s="836">
        <f>+E106</f>
        <v>60000000</v>
      </c>
      <c r="F120" s="1632">
        <f>+L124</f>
        <v>456</v>
      </c>
      <c r="G120" s="2463">
        <f>+N124</f>
        <v>6000000</v>
      </c>
      <c r="J120" s="2529"/>
      <c r="K120" s="2530"/>
      <c r="L120" s="2531"/>
      <c r="M120" s="2531"/>
      <c r="N120" s="2531"/>
    </row>
    <row r="121" spans="2:15" ht="16.899999999999999" thickBot="1">
      <c r="B121" s="789"/>
      <c r="C121" s="709" t="str">
        <f>+C107</f>
        <v>1-2-10-008 Dep. Acum. de Edificaciones</v>
      </c>
      <c r="D121" s="709"/>
      <c r="E121" s="799">
        <f>+E107-G114</f>
        <v>-40000000</v>
      </c>
      <c r="F121" s="789"/>
      <c r="G121" s="789"/>
      <c r="J121" s="2532" t="s">
        <v>929</v>
      </c>
      <c r="K121" s="2533"/>
      <c r="L121" s="2529"/>
      <c r="M121" s="2531"/>
      <c r="N121" s="2531"/>
    </row>
    <row r="122" spans="2:15" ht="16.899999999999999" thickBot="1">
      <c r="B122" s="789"/>
      <c r="C122" s="1488" t="s">
        <v>1082</v>
      </c>
      <c r="D122" s="2453"/>
      <c r="E122" s="2454">
        <f>SUM(E120:E121)</f>
        <v>20000000</v>
      </c>
      <c r="F122" s="789"/>
      <c r="G122" s="789"/>
      <c r="J122" s="2529" t="s">
        <v>1424</v>
      </c>
      <c r="K122" s="2530">
        <v>55000000</v>
      </c>
      <c r="L122" s="2534">
        <f>10*12</f>
        <v>120</v>
      </c>
      <c r="M122" s="2531"/>
      <c r="N122" s="2535">
        <f>+K122*0.3</f>
        <v>16500000</v>
      </c>
    </row>
    <row r="123" spans="2:15">
      <c r="B123" s="789"/>
      <c r="C123" s="789"/>
      <c r="D123" s="789"/>
      <c r="E123" s="789"/>
      <c r="F123" s="789"/>
      <c r="G123" s="789"/>
      <c r="J123" s="2529" t="s">
        <v>1425</v>
      </c>
      <c r="K123" s="2530">
        <v>210000000</v>
      </c>
      <c r="L123" s="2534">
        <f>50*12</f>
        <v>600</v>
      </c>
      <c r="M123" s="2531"/>
      <c r="N123" s="2535">
        <f t="shared" ref="N123:N124" si="0">+K123*0.3</f>
        <v>63000000</v>
      </c>
    </row>
    <row r="124" spans="2:15" ht="13.9" thickBot="1">
      <c r="B124" s="789"/>
      <c r="C124" s="789"/>
      <c r="D124" s="789"/>
      <c r="E124" s="789"/>
      <c r="F124" s="789"/>
      <c r="G124" s="789"/>
      <c r="J124" s="2529" t="s">
        <v>1427</v>
      </c>
      <c r="K124" s="2530">
        <v>20000000</v>
      </c>
      <c r="L124" s="2534">
        <f>38*12</f>
        <v>456</v>
      </c>
      <c r="M124" s="2531"/>
      <c r="N124" s="2535">
        <f t="shared" si="0"/>
        <v>6000000</v>
      </c>
    </row>
    <row r="125" spans="2:15" ht="13.9" thickBot="1">
      <c r="B125" s="2111" t="s">
        <v>1727</v>
      </c>
      <c r="C125" s="2111"/>
      <c r="D125" s="2111"/>
      <c r="E125" s="885"/>
      <c r="J125" s="1550"/>
      <c r="K125" s="1550"/>
      <c r="L125" s="1550"/>
      <c r="M125" s="1550"/>
      <c r="N125" s="1550"/>
    </row>
    <row r="126" spans="2:15" ht="13.9" thickBot="1">
      <c r="J126" s="2536" t="s">
        <v>1095</v>
      </c>
      <c r="K126" s="2537" t="s">
        <v>1052</v>
      </c>
      <c r="L126" s="2537">
        <v>36</v>
      </c>
      <c r="M126" s="2538"/>
      <c r="N126" s="2539">
        <v>8000000</v>
      </c>
    </row>
    <row r="127" spans="2:15" ht="16.899999999999999" thickBot="1">
      <c r="B127" s="709"/>
      <c r="C127" s="713" t="str">
        <f>+J14</f>
        <v>1-2-10-002 Muebles y Enseres</v>
      </c>
      <c r="D127" s="714"/>
      <c r="E127" s="715" t="s">
        <v>1473</v>
      </c>
      <c r="F127" s="716" t="s">
        <v>1472</v>
      </c>
      <c r="G127" s="717" t="s">
        <v>935</v>
      </c>
      <c r="J127" s="2540" t="s">
        <v>1086</v>
      </c>
      <c r="K127" s="2541"/>
      <c r="L127" s="2541"/>
      <c r="M127" s="2542"/>
      <c r="N127" s="2543"/>
    </row>
    <row r="128" spans="2:15" ht="16.5">
      <c r="B128" s="709"/>
      <c r="C128" s="709" t="str">
        <f>+J14</f>
        <v>1-2-10-002 Muebles y Enseres</v>
      </c>
      <c r="D128" s="709"/>
      <c r="E128" s="836">
        <f>+L14</f>
        <v>22000000</v>
      </c>
      <c r="F128" s="797"/>
      <c r="G128" s="798"/>
      <c r="J128" s="1551"/>
      <c r="K128" s="1551"/>
      <c r="L128" s="1551"/>
      <c r="M128" s="1551"/>
      <c r="N128" s="1551"/>
    </row>
    <row r="129" spans="2:14" ht="16.5">
      <c r="B129" s="709"/>
      <c r="C129" s="709" t="str">
        <f>+J15</f>
        <v>1-2-10-011 Dep. Acum. de Muebles y Enseres</v>
      </c>
      <c r="D129" s="709"/>
      <c r="E129" s="799">
        <f>+L15</f>
        <v>-9000000</v>
      </c>
      <c r="F129" s="727"/>
      <c r="G129" s="728"/>
      <c r="J129" s="2545" t="s">
        <v>927</v>
      </c>
      <c r="K129" s="2546"/>
      <c r="L129" s="2546"/>
      <c r="M129" s="2546"/>
      <c r="N129" s="2546"/>
    </row>
    <row r="130" spans="2:14" ht="14.25" customHeight="1">
      <c r="C130" s="2471"/>
      <c r="D130" s="2471"/>
      <c r="E130" s="2480"/>
      <c r="F130" s="2480"/>
      <c r="G130" s="2480"/>
      <c r="J130" s="2547" t="s">
        <v>1087</v>
      </c>
      <c r="K130" s="2548">
        <v>12000000</v>
      </c>
      <c r="L130" s="2549">
        <f>12*5</f>
        <v>60</v>
      </c>
      <c r="M130" s="2548"/>
      <c r="N130" s="2548">
        <f>+K130*0.4</f>
        <v>4800000</v>
      </c>
    </row>
    <row r="131" spans="2:14" ht="16.5">
      <c r="B131" s="789"/>
      <c r="C131" s="2459" t="str">
        <f>+'Bce Clasificado 31.12.2024'!B109</f>
        <v>1-2-10-055 Escritorios</v>
      </c>
      <c r="D131" s="2459"/>
      <c r="E131" s="2481"/>
      <c r="F131" s="2481">
        <f>+K130</f>
        <v>12000000</v>
      </c>
      <c r="G131" s="2457"/>
      <c r="J131" s="2547" t="s">
        <v>1088</v>
      </c>
      <c r="K131" s="2548">
        <v>6000000</v>
      </c>
      <c r="L131" s="2549">
        <f>12*4</f>
        <v>48</v>
      </c>
      <c r="M131" s="2548"/>
      <c r="N131" s="2548">
        <f t="shared" ref="N131:N132" si="1">+K131*0.4</f>
        <v>2400000</v>
      </c>
    </row>
    <row r="132" spans="2:14" ht="16.899999999999999" thickBot="1">
      <c r="B132" s="789"/>
      <c r="C132" s="2459" t="str">
        <f>+'Bce Clasificado 31.12.2024'!B110</f>
        <v>1-2-10-056 Sillas</v>
      </c>
      <c r="D132" s="2459"/>
      <c r="E132" s="2481"/>
      <c r="F132" s="2481">
        <f>+K131</f>
        <v>6000000</v>
      </c>
      <c r="G132" s="2457"/>
      <c r="J132" s="2550" t="s">
        <v>1096</v>
      </c>
      <c r="K132" s="2551">
        <v>5000000</v>
      </c>
      <c r="L132" s="2552">
        <f>12*6</f>
        <v>72</v>
      </c>
      <c r="M132" s="2551"/>
      <c r="N132" s="2548">
        <f t="shared" si="1"/>
        <v>2000000</v>
      </c>
    </row>
    <row r="133" spans="2:14" ht="16.899999999999999" thickBot="1">
      <c r="B133" s="789"/>
      <c r="C133" s="2459" t="str">
        <f>+'Bce Clasificado 31.12.2024'!B111</f>
        <v>1-2-10-057 Estantes</v>
      </c>
      <c r="D133" s="2459"/>
      <c r="E133" s="2481"/>
      <c r="F133" s="2481">
        <f>+K132</f>
        <v>5000000</v>
      </c>
      <c r="G133" s="2457"/>
      <c r="J133" s="2553" t="s">
        <v>1097</v>
      </c>
      <c r="K133" s="2554"/>
      <c r="L133" s="2554"/>
      <c r="M133" s="2554"/>
      <c r="N133" s="2555"/>
    </row>
    <row r="134" spans="2:14" ht="16.899999999999999" thickBot="1">
      <c r="B134" s="789"/>
      <c r="C134" s="2478"/>
      <c r="D134" s="2479"/>
      <c r="E134" s="2482">
        <f>SUM(E128:E133)</f>
        <v>13000000</v>
      </c>
      <c r="F134" s="2483">
        <f>SUM(F131:F133)</f>
        <v>23000000</v>
      </c>
      <c r="G134" s="2482">
        <f>+F134-E134</f>
        <v>10000000</v>
      </c>
      <c r="J134" s="2556"/>
      <c r="K134" s="2557"/>
      <c r="L134" s="2557"/>
      <c r="M134" s="2557"/>
      <c r="N134" s="2558"/>
    </row>
    <row r="135" spans="2:14" ht="16.899999999999999" thickBot="1">
      <c r="B135" s="789"/>
      <c r="C135" s="816"/>
      <c r="D135" s="816"/>
      <c r="E135" s="816"/>
      <c r="F135" s="816"/>
      <c r="G135" s="816"/>
      <c r="J135" s="1639"/>
      <c r="K135" s="1639"/>
      <c r="L135" s="1639"/>
      <c r="M135" s="1639"/>
      <c r="N135" s="1639"/>
    </row>
    <row r="136" spans="2:14" ht="16.899999999999999" thickBot="1">
      <c r="B136" s="2010" t="s">
        <v>1055</v>
      </c>
      <c r="C136" s="2177" t="s">
        <v>1052</v>
      </c>
      <c r="D136" s="2112"/>
      <c r="E136" s="2113"/>
      <c r="F136" s="1426" t="s">
        <v>1056</v>
      </c>
      <c r="G136" s="2455" t="s">
        <v>1057</v>
      </c>
      <c r="J136" s="2536" t="s">
        <v>930</v>
      </c>
      <c r="K136" s="2537" t="s">
        <v>1052</v>
      </c>
      <c r="L136" s="2537">
        <v>180</v>
      </c>
      <c r="M136" s="2559"/>
      <c r="N136" s="2539">
        <v>20000000</v>
      </c>
    </row>
    <row r="137" spans="2:14" ht="16.899999999999999" thickBot="1">
      <c r="B137" s="2456" t="s">
        <v>1718</v>
      </c>
      <c r="C137" s="865" t="s">
        <v>1058</v>
      </c>
      <c r="D137" s="1056">
        <v>15</v>
      </c>
      <c r="E137" s="1057" t="s">
        <v>1058</v>
      </c>
      <c r="F137" s="2457"/>
      <c r="G137" s="2458"/>
      <c r="J137" s="2540" t="s">
        <v>1089</v>
      </c>
      <c r="K137" s="2541"/>
      <c r="L137" s="2541"/>
      <c r="M137" s="2560"/>
      <c r="N137" s="2543"/>
    </row>
    <row r="138" spans="2:14" ht="16.899999999999999" thickBot="1">
      <c r="B138" s="2456" t="s">
        <v>295</v>
      </c>
      <c r="C138" s="2456" t="str">
        <f>+C129</f>
        <v>1-2-10-011 Dep. Acum. de Muebles y Enseres</v>
      </c>
      <c r="D138" s="2459"/>
      <c r="E138" s="2458"/>
      <c r="F138" s="2460">
        <f>-E129</f>
        <v>9000000</v>
      </c>
      <c r="G138" s="2458"/>
      <c r="J138" s="1639"/>
      <c r="K138" s="1639"/>
      <c r="L138" s="1639"/>
      <c r="M138" s="1639"/>
      <c r="N138" s="1639"/>
    </row>
    <row r="139" spans="2:14" ht="25.15" customHeight="1" thickBot="1">
      <c r="B139" s="2456" t="s">
        <v>294</v>
      </c>
      <c r="C139" s="2456"/>
      <c r="D139" s="2459" t="str">
        <f>+C128</f>
        <v>1-2-10-002 Muebles y Enseres</v>
      </c>
      <c r="E139" s="2458"/>
      <c r="F139" s="2457"/>
      <c r="G139" s="2461">
        <f>+E128</f>
        <v>22000000</v>
      </c>
      <c r="J139" s="2568" t="s">
        <v>1090</v>
      </c>
      <c r="K139" s="2569" t="s">
        <v>1098</v>
      </c>
      <c r="L139" s="2570"/>
      <c r="M139" s="2570"/>
      <c r="N139" s="2571"/>
    </row>
    <row r="140" spans="2:14" ht="16.5">
      <c r="B140" s="2456"/>
      <c r="C140" s="2456"/>
      <c r="D140" s="2459"/>
      <c r="E140" s="2458"/>
      <c r="F140" s="2457"/>
      <c r="G140" s="2458"/>
      <c r="J140" s="2572" t="s">
        <v>1091</v>
      </c>
      <c r="K140" s="2573"/>
      <c r="L140" s="2574"/>
      <c r="M140" s="2574"/>
      <c r="N140" s="2574"/>
    </row>
    <row r="141" spans="2:14" ht="16.5">
      <c r="B141" s="2456" t="str">
        <f>+B139</f>
        <v>Activo</v>
      </c>
      <c r="C141" s="2456" t="str">
        <f>+C131</f>
        <v>1-2-10-055 Escritorios</v>
      </c>
      <c r="D141" s="2459"/>
      <c r="E141" s="2458"/>
      <c r="F141" s="2481">
        <f>+F131</f>
        <v>12000000</v>
      </c>
      <c r="G141" s="2458"/>
      <c r="J141" s="2529"/>
      <c r="K141" s="2529"/>
      <c r="L141" s="2529"/>
      <c r="M141" s="2529"/>
      <c r="N141" s="2529"/>
    </row>
    <row r="142" spans="2:14" ht="16.5">
      <c r="B142" s="2456" t="str">
        <f>+B141</f>
        <v>Activo</v>
      </c>
      <c r="C142" s="2456" t="str">
        <f>+C132</f>
        <v>1-2-10-056 Sillas</v>
      </c>
      <c r="D142" s="2459"/>
      <c r="E142" s="2458"/>
      <c r="F142" s="2481">
        <f>+F132</f>
        <v>6000000</v>
      </c>
      <c r="G142" s="2458"/>
      <c r="J142" s="2529" t="s">
        <v>1099</v>
      </c>
      <c r="K142" s="2530">
        <v>20000000</v>
      </c>
      <c r="L142" s="2534">
        <v>36</v>
      </c>
      <c r="M142" s="2530"/>
      <c r="N142" s="2530">
        <f>+K142*0.4</f>
        <v>8000000</v>
      </c>
    </row>
    <row r="143" spans="2:14" ht="16.5">
      <c r="B143" s="2456" t="str">
        <f>+B142</f>
        <v>Activo</v>
      </c>
      <c r="C143" s="2456" t="str">
        <f>+C133</f>
        <v>1-2-10-057 Estantes</v>
      </c>
      <c r="D143" s="2459"/>
      <c r="E143" s="2458"/>
      <c r="F143" s="2481">
        <f>+F133</f>
        <v>5000000</v>
      </c>
      <c r="G143" s="2458"/>
      <c r="J143" s="2529" t="s">
        <v>1100</v>
      </c>
      <c r="K143" s="2530">
        <v>8000000</v>
      </c>
      <c r="L143" s="2534">
        <v>24</v>
      </c>
      <c r="M143" s="2530"/>
      <c r="N143" s="2530">
        <f t="shared" ref="N143:N144" si="2">+K143*0.4</f>
        <v>3200000</v>
      </c>
    </row>
    <row r="144" spans="2:14" ht="16.5">
      <c r="B144" s="2456" t="s">
        <v>39</v>
      </c>
      <c r="C144" s="2456"/>
      <c r="D144" s="2459" t="str">
        <f>+'Bce Clasificado 31.12.2024'!H79</f>
        <v>2-3-01-003 Ganancias (pérdidas) acumuladas</v>
      </c>
      <c r="E144" s="2458"/>
      <c r="F144" s="2457"/>
      <c r="G144" s="2461">
        <f>+G134</f>
        <v>10000000</v>
      </c>
      <c r="J144" s="2529" t="s">
        <v>1101</v>
      </c>
      <c r="K144" s="2530">
        <v>5000000</v>
      </c>
      <c r="L144" s="2534">
        <v>60</v>
      </c>
      <c r="M144" s="2530"/>
      <c r="N144" s="2530">
        <f t="shared" si="2"/>
        <v>2000000</v>
      </c>
    </row>
    <row r="145" spans="2:15" ht="16.899999999999999" thickBot="1">
      <c r="B145" s="2456"/>
      <c r="C145" s="2456" t="s">
        <v>1731</v>
      </c>
      <c r="D145" s="2459"/>
      <c r="E145" s="2458"/>
      <c r="F145" s="2457"/>
      <c r="G145" s="2458"/>
    </row>
    <row r="146" spans="2:15" ht="16.899999999999999" thickBot="1">
      <c r="B146" s="2433"/>
      <c r="C146" s="2433" t="s">
        <v>1732</v>
      </c>
      <c r="D146" s="2434"/>
      <c r="E146" s="2435"/>
      <c r="F146" s="2432"/>
      <c r="G146" s="2435"/>
      <c r="J146" s="1561" t="s">
        <v>1661</v>
      </c>
      <c r="K146" s="1562"/>
      <c r="L146" s="1562"/>
      <c r="M146" s="1562"/>
      <c r="N146" s="1562"/>
      <c r="O146" s="1563"/>
    </row>
    <row r="147" spans="2:15">
      <c r="B147" s="789"/>
      <c r="C147" s="789"/>
      <c r="D147" s="789"/>
      <c r="E147" s="789"/>
      <c r="F147" s="2484">
        <f>SUM(F138:F146)</f>
        <v>32000000</v>
      </c>
      <c r="G147" s="2484">
        <f>SUM(G138:G146)</f>
        <v>32000000</v>
      </c>
    </row>
    <row r="148" spans="2:15">
      <c r="B148" s="789"/>
      <c r="C148" s="789"/>
      <c r="D148" s="789"/>
      <c r="E148" s="789"/>
      <c r="F148" s="789"/>
      <c r="G148" s="2484">
        <f>+F147-G147</f>
        <v>0</v>
      </c>
      <c r="J148" s="2128" t="s">
        <v>1662</v>
      </c>
      <c r="K148" s="2129"/>
      <c r="L148" s="2129"/>
      <c r="M148" s="2129"/>
      <c r="N148" s="2129"/>
      <c r="O148" s="2130"/>
    </row>
    <row r="149" spans="2:15">
      <c r="B149" s="789"/>
      <c r="C149" s="789"/>
      <c r="D149" s="789"/>
      <c r="E149" s="789"/>
      <c r="F149" s="789"/>
      <c r="G149" s="789"/>
      <c r="J149" s="2131"/>
      <c r="K149" s="2132"/>
      <c r="L149" s="2132"/>
      <c r="M149" s="2132"/>
      <c r="N149" s="2132"/>
      <c r="O149" s="2133"/>
    </row>
    <row r="150" spans="2:15" ht="13.9" thickBot="1">
      <c r="B150" s="789"/>
      <c r="C150" s="789"/>
      <c r="D150" s="789"/>
      <c r="E150" s="789"/>
      <c r="F150" s="789"/>
      <c r="G150" s="789"/>
    </row>
    <row r="151" spans="2:15" ht="13.9" thickBot="1">
      <c r="B151" s="2111" t="s">
        <v>1734</v>
      </c>
      <c r="C151" s="2111"/>
      <c r="D151" s="2111"/>
      <c r="E151" s="885"/>
      <c r="J151" s="1552" t="s">
        <v>1663</v>
      </c>
      <c r="K151" s="1553"/>
      <c r="L151" s="1553"/>
      <c r="M151" s="1553"/>
      <c r="N151" s="1553"/>
      <c r="O151" s="1554"/>
    </row>
    <row r="152" spans="2:15" ht="13.9" thickBot="1"/>
    <row r="153" spans="2:15" ht="16.899999999999999" thickBot="1">
      <c r="B153" s="709"/>
      <c r="C153" s="713" t="str">
        <f>+J139</f>
        <v>Máquinas y Equipos</v>
      </c>
      <c r="D153" s="714"/>
      <c r="E153" s="715" t="s">
        <v>1473</v>
      </c>
      <c r="F153" s="716" t="s">
        <v>1472</v>
      </c>
      <c r="G153" s="717" t="s">
        <v>935</v>
      </c>
      <c r="J153" s="1552" t="s">
        <v>1664</v>
      </c>
      <c r="K153" s="1553"/>
      <c r="L153" s="1553"/>
      <c r="M153" s="1553"/>
      <c r="N153" s="1553"/>
      <c r="O153" s="1554"/>
    </row>
    <row r="154" spans="2:15" ht="16.5">
      <c r="B154" s="709"/>
      <c r="C154" s="709" t="str">
        <f>+J11</f>
        <v xml:space="preserve">1-2-10-001 Maquinarias y Equipos </v>
      </c>
      <c r="D154" s="709"/>
      <c r="E154" s="836">
        <f>+'Bce Clasificado 31.12.2024'!D97</f>
        <v>20000000</v>
      </c>
      <c r="F154" s="797"/>
      <c r="G154" s="798"/>
    </row>
    <row r="155" spans="2:15" ht="16.5">
      <c r="B155" s="709"/>
      <c r="C155" s="709" t="str">
        <f>+J12</f>
        <v xml:space="preserve">1-2-10-009 Dep. Acum. de Maquinarias y Equipos </v>
      </c>
      <c r="D155" s="709"/>
      <c r="E155" s="799">
        <f>+'Bce Clasificado 31.12.2024'!D105</f>
        <v>-5000000</v>
      </c>
      <c r="F155" s="727"/>
      <c r="G155" s="728"/>
      <c r="J155" s="1555" t="s">
        <v>1665</v>
      </c>
      <c r="K155" s="1556"/>
      <c r="L155" s="1556"/>
      <c r="M155" s="1556"/>
      <c r="N155" s="1556"/>
      <c r="O155" s="1557"/>
    </row>
    <row r="156" spans="2:15" ht="16.5">
      <c r="C156" s="2471"/>
      <c r="D156" s="2471"/>
      <c r="E156" s="2480"/>
      <c r="F156" s="2480"/>
      <c r="G156" s="2480"/>
    </row>
    <row r="157" spans="2:15" ht="16.5">
      <c r="B157" s="789"/>
      <c r="C157" s="2471" t="str">
        <f>+'Bce Clasificado 31.12.2024'!B115</f>
        <v>1-2-10-058 Maquina Transportadora</v>
      </c>
      <c r="D157" s="2459"/>
      <c r="E157" s="2481"/>
      <c r="F157" s="2481">
        <f>+K142</f>
        <v>20000000</v>
      </c>
      <c r="G157" s="2457"/>
      <c r="J157" s="1555" t="s">
        <v>1666</v>
      </c>
      <c r="K157" s="1556"/>
      <c r="L157" s="1556"/>
      <c r="M157" s="1556"/>
      <c r="N157" s="1556"/>
      <c r="O157" s="1557"/>
    </row>
    <row r="158" spans="2:15" ht="16.899999999999999" thickBot="1">
      <c r="B158" s="789"/>
      <c r="C158" s="2471" t="str">
        <f>+'Bce Clasificado 31.12.2024'!B116</f>
        <v>1-2-10-059 Maquina Cortadora</v>
      </c>
      <c r="D158" s="2459"/>
      <c r="E158" s="2481"/>
      <c r="F158" s="2481">
        <f>+K143</f>
        <v>8000000</v>
      </c>
      <c r="G158" s="2457"/>
    </row>
    <row r="159" spans="2:15" ht="16.899999999999999" thickBot="1">
      <c r="B159" s="789"/>
      <c r="C159" s="2459" t="str">
        <f>+'Bce Clasificado 31.12.2024'!B117</f>
        <v>1-2-10-060 Maquina Recolectora</v>
      </c>
      <c r="D159" s="2459"/>
      <c r="E159" s="2481"/>
      <c r="F159" s="2481">
        <f>+K144</f>
        <v>5000000</v>
      </c>
      <c r="G159" s="2457"/>
      <c r="J159" s="2134" t="s">
        <v>1667</v>
      </c>
      <c r="K159" s="2135"/>
      <c r="L159" s="2135"/>
      <c r="M159" s="2135"/>
      <c r="N159" s="2135"/>
      <c r="O159" s="2136"/>
    </row>
    <row r="160" spans="2:15" ht="16.899999999999999" thickBot="1">
      <c r="B160" s="789"/>
      <c r="C160" s="2478"/>
      <c r="D160" s="2479"/>
      <c r="E160" s="2482">
        <f>SUM(E154:E159)</f>
        <v>15000000</v>
      </c>
      <c r="F160" s="2483">
        <f>SUM(F157:F159)</f>
        <v>33000000</v>
      </c>
      <c r="G160" s="2482">
        <f>+F160-E160</f>
        <v>18000000</v>
      </c>
      <c r="J160" s="2137"/>
      <c r="K160" s="2138"/>
      <c r="L160" s="2138"/>
      <c r="M160" s="2138"/>
      <c r="N160" s="2138"/>
      <c r="O160" s="2139"/>
    </row>
    <row r="161" spans="2:15" ht="16.899999999999999" thickBot="1">
      <c r="B161" s="789"/>
      <c r="C161" s="816"/>
      <c r="D161" s="816"/>
      <c r="E161" s="816"/>
      <c r="F161" s="816"/>
      <c r="G161" s="816"/>
      <c r="J161" s="2137"/>
      <c r="K161" s="2138"/>
      <c r="L161" s="2138"/>
      <c r="M161" s="2138"/>
      <c r="N161" s="2138"/>
      <c r="O161" s="2139"/>
    </row>
    <row r="162" spans="2:15" ht="16.899999999999999" thickBot="1">
      <c r="B162" s="2010" t="s">
        <v>1055</v>
      </c>
      <c r="C162" s="2177" t="s">
        <v>1052</v>
      </c>
      <c r="D162" s="2112"/>
      <c r="E162" s="2113"/>
      <c r="F162" s="1426" t="s">
        <v>1056</v>
      </c>
      <c r="G162" s="2455" t="s">
        <v>1057</v>
      </c>
      <c r="J162" s="2137"/>
      <c r="K162" s="2138"/>
      <c r="L162" s="2138"/>
      <c r="M162" s="2138"/>
      <c r="N162" s="2138"/>
      <c r="O162" s="2139"/>
    </row>
    <row r="163" spans="2:15" ht="16.5">
      <c r="B163" s="2456" t="s">
        <v>1718</v>
      </c>
      <c r="C163" s="865" t="s">
        <v>1058</v>
      </c>
      <c r="D163" s="1056">
        <v>16</v>
      </c>
      <c r="E163" s="1057" t="s">
        <v>1058</v>
      </c>
      <c r="F163" s="2457"/>
      <c r="G163" s="2458"/>
      <c r="J163" s="2137"/>
      <c r="K163" s="2138"/>
      <c r="L163" s="2138"/>
      <c r="M163" s="2138"/>
      <c r="N163" s="2138"/>
      <c r="O163" s="2139"/>
    </row>
    <row r="164" spans="2:15" ht="16.5">
      <c r="B164" s="2456" t="s">
        <v>295</v>
      </c>
      <c r="C164" s="2456" t="str">
        <f>+C155</f>
        <v xml:space="preserve">1-2-10-009 Dep. Acum. de Maquinarias y Equipos </v>
      </c>
      <c r="D164" s="2459"/>
      <c r="E164" s="2458"/>
      <c r="F164" s="2460">
        <f>-E155</f>
        <v>5000000</v>
      </c>
      <c r="G164" s="2458"/>
      <c r="J164" s="2137"/>
      <c r="K164" s="2138"/>
      <c r="L164" s="2138"/>
      <c r="M164" s="2138"/>
      <c r="N164" s="2138"/>
      <c r="O164" s="2139"/>
    </row>
    <row r="165" spans="2:15" ht="16.899999999999999" thickBot="1">
      <c r="B165" s="2456" t="s">
        <v>294</v>
      </c>
      <c r="C165" s="2456"/>
      <c r="D165" s="2459" t="str">
        <f>+C154</f>
        <v xml:space="preserve">1-2-10-001 Maquinarias y Equipos </v>
      </c>
      <c r="E165" s="2458"/>
      <c r="F165" s="2457"/>
      <c r="G165" s="2461">
        <f>+E154</f>
        <v>20000000</v>
      </c>
      <c r="J165" s="2140"/>
      <c r="K165" s="2141"/>
      <c r="L165" s="2141"/>
      <c r="M165" s="2141"/>
      <c r="N165" s="2141"/>
      <c r="O165" s="2142"/>
    </row>
    <row r="166" spans="2:15" ht="16.899999999999999" thickBot="1">
      <c r="B166" s="2456"/>
      <c r="C166" s="2456"/>
      <c r="D166" s="2459"/>
      <c r="E166" s="2458"/>
      <c r="F166" s="2457"/>
      <c r="G166" s="2458"/>
    </row>
    <row r="167" spans="2:15" ht="16.5">
      <c r="B167" s="2456" t="str">
        <f>+B165</f>
        <v>Activo</v>
      </c>
      <c r="C167" s="2456" t="str">
        <f>+C157</f>
        <v>1-2-10-058 Maquina Transportadora</v>
      </c>
      <c r="D167" s="2459"/>
      <c r="E167" s="2458">
        <f>ROUND((+F167/F160)*100,2)</f>
        <v>60.61</v>
      </c>
      <c r="F167" s="2496">
        <f>+F157</f>
        <v>20000000</v>
      </c>
      <c r="G167" s="2458"/>
    </row>
    <row r="168" spans="2:15" ht="16.5">
      <c r="B168" s="2456" t="str">
        <f>+B165</f>
        <v>Activo</v>
      </c>
      <c r="C168" s="2456" t="str">
        <f>+C158</f>
        <v>1-2-10-059 Maquina Cortadora</v>
      </c>
      <c r="D168" s="2459"/>
      <c r="E168" s="2458">
        <f>ROUND((+F168/F160)*100,2)</f>
        <v>24.24</v>
      </c>
      <c r="F168" s="2481">
        <f>+F158</f>
        <v>8000000</v>
      </c>
      <c r="G168" s="2458"/>
    </row>
    <row r="169" spans="2:15" ht="16.899999999999999" thickBot="1">
      <c r="B169" s="2456" t="str">
        <f>+B165</f>
        <v>Activo</v>
      </c>
      <c r="C169" s="2456" t="str">
        <f>+C159</f>
        <v>1-2-10-060 Maquina Recolectora</v>
      </c>
      <c r="D169" s="2459"/>
      <c r="E169" s="2458">
        <f>ROUND((+F169/F160)*100,2)</f>
        <v>15.15</v>
      </c>
      <c r="F169" s="2497">
        <f>+F159</f>
        <v>5000000</v>
      </c>
      <c r="G169" s="2458"/>
    </row>
    <row r="170" spans="2:15" ht="16.5">
      <c r="B170" s="2456"/>
      <c r="C170" s="2498" t="str">
        <f>+J142</f>
        <v>Maquina Transportadora</v>
      </c>
      <c r="D170" s="2459" t="str">
        <f>+'Bce Clasificado 31.12.2024'!H76</f>
        <v>2-3-01-004 Otras Reservas</v>
      </c>
      <c r="E170" s="2458"/>
      <c r="F170" s="2481"/>
      <c r="G170" s="2499">
        <f>ROUND(+$G$160*E167%,0)</f>
        <v>10909800</v>
      </c>
    </row>
    <row r="171" spans="2:15" ht="16.5">
      <c r="B171" s="2456"/>
      <c r="C171" s="2498" t="str">
        <f>+J143</f>
        <v>Maquina Cortadora</v>
      </c>
      <c r="D171" s="2459" t="str">
        <f>+D170</f>
        <v>2-3-01-004 Otras Reservas</v>
      </c>
      <c r="E171" s="2458"/>
      <c r="F171" s="2481"/>
      <c r="G171" s="2499">
        <f>ROUND(+$G$160*E168%,0)</f>
        <v>4363200</v>
      </c>
    </row>
    <row r="172" spans="2:15" ht="16.5">
      <c r="B172" s="2456"/>
      <c r="C172" s="2498" t="str">
        <f>+J144</f>
        <v>Maquina Recolectora</v>
      </c>
      <c r="D172" s="2459" t="str">
        <f>+D171</f>
        <v>2-3-01-004 Otras Reservas</v>
      </c>
      <c r="E172" s="2458"/>
      <c r="F172" s="2481"/>
      <c r="G172" s="2499">
        <f>ROUND(+$G$160*E169%,0)</f>
        <v>2727000</v>
      </c>
    </row>
    <row r="173" spans="2:15" ht="16.5">
      <c r="B173" s="2456"/>
      <c r="C173" s="2456"/>
      <c r="D173" s="2459"/>
      <c r="E173" s="2458"/>
      <c r="F173" s="2457"/>
      <c r="G173" s="2461"/>
    </row>
    <row r="174" spans="2:15" ht="16.5">
      <c r="B174" s="2456"/>
      <c r="C174" s="2456" t="s">
        <v>1738</v>
      </c>
      <c r="D174" s="2459"/>
      <c r="E174" s="2458"/>
      <c r="F174" s="2457"/>
      <c r="G174" s="2458"/>
    </row>
    <row r="175" spans="2:15" ht="16.899999999999999" thickBot="1">
      <c r="B175" s="2433"/>
      <c r="C175" s="2433"/>
      <c r="D175" s="2434"/>
      <c r="E175" s="2435"/>
      <c r="F175" s="2432"/>
      <c r="G175" s="2435"/>
    </row>
    <row r="176" spans="2:15">
      <c r="B176" s="789"/>
      <c r="C176" s="789"/>
      <c r="D176" s="789"/>
      <c r="E176" s="789"/>
      <c r="F176" s="2484">
        <f>SUM(F164:F175)</f>
        <v>38000000</v>
      </c>
      <c r="G176" s="2484">
        <f>SUM(G164:G175)</f>
        <v>38000000</v>
      </c>
    </row>
    <row r="177" spans="2:8">
      <c r="B177" s="789"/>
      <c r="C177" s="789"/>
      <c r="D177" s="789"/>
      <c r="E177" s="789"/>
      <c r="F177" s="789"/>
      <c r="G177" s="2484">
        <f>+F176-G176</f>
        <v>0</v>
      </c>
    </row>
    <row r="178" spans="2:8">
      <c r="B178" s="789" t="s">
        <v>1740</v>
      </c>
      <c r="C178" s="789"/>
      <c r="D178" s="789"/>
      <c r="E178" s="789"/>
      <c r="F178" s="789"/>
      <c r="G178" s="789"/>
    </row>
    <row r="179" spans="2:8">
      <c r="B179" s="789"/>
      <c r="C179" s="789"/>
      <c r="D179" s="789"/>
      <c r="E179" s="789"/>
      <c r="F179" s="789"/>
      <c r="G179" s="789"/>
    </row>
    <row r="180" spans="2:8" ht="13.9" thickBot="1">
      <c r="B180" s="789"/>
      <c r="C180" s="789"/>
      <c r="D180" s="789"/>
      <c r="E180" s="789"/>
      <c r="F180" s="789"/>
      <c r="G180" s="789"/>
    </row>
    <row r="181" spans="2:8" ht="16.899999999999999" thickBot="1">
      <c r="B181" s="816"/>
      <c r="C181" s="713" t="s">
        <v>994</v>
      </c>
      <c r="D181" s="714"/>
      <c r="E181" s="2515" t="s">
        <v>1473</v>
      </c>
      <c r="F181" s="2517" t="s">
        <v>1081</v>
      </c>
      <c r="G181" s="2518" t="s">
        <v>1093</v>
      </c>
      <c r="H181" s="816"/>
    </row>
    <row r="182" spans="2:8" ht="16.899999999999999" thickBot="1">
      <c r="B182" s="816"/>
      <c r="C182" s="709" t="s">
        <v>1424</v>
      </c>
      <c r="D182" s="709"/>
      <c r="E182" s="836">
        <v>60000000</v>
      </c>
      <c r="F182" s="2519">
        <v>120</v>
      </c>
      <c r="G182" s="2520">
        <v>16500000</v>
      </c>
      <c r="H182" s="2521" t="s">
        <v>113</v>
      </c>
    </row>
    <row r="183" spans="2:8" ht="16.899999999999999" thickBot="1">
      <c r="B183" s="816"/>
      <c r="C183" s="709" t="s">
        <v>997</v>
      </c>
      <c r="D183" s="709"/>
      <c r="E183" s="799">
        <v>-5000000</v>
      </c>
      <c r="F183" s="2522" t="s">
        <v>1741</v>
      </c>
      <c r="G183" s="2482">
        <v>30000000</v>
      </c>
      <c r="H183" s="816" t="s">
        <v>1742</v>
      </c>
    </row>
    <row r="184" spans="2:8" ht="16.899999999999999" thickBot="1">
      <c r="B184" s="816"/>
      <c r="C184" s="1488" t="s">
        <v>1082</v>
      </c>
      <c r="D184" s="2523"/>
      <c r="E184" s="2454">
        <v>55000000</v>
      </c>
      <c r="F184" s="816"/>
      <c r="G184" s="816"/>
      <c r="H184" s="816" t="s">
        <v>1743</v>
      </c>
    </row>
    <row r="185" spans="2:8" ht="16.5">
      <c r="B185" s="816"/>
      <c r="C185" s="816"/>
      <c r="D185" s="816"/>
      <c r="E185" s="816"/>
      <c r="F185" s="816"/>
      <c r="G185" s="816"/>
      <c r="H185" s="816"/>
    </row>
    <row r="186" spans="2:8" ht="16.5">
      <c r="B186" s="816"/>
      <c r="C186" s="816" t="str">
        <f>+C183</f>
        <v>1-2-10-008 Dep. Acum. de Edificaciones</v>
      </c>
      <c r="D186" s="816"/>
      <c r="E186" s="2524">
        <f>+((E184-G182)/F182)*12</f>
        <v>3850000</v>
      </c>
      <c r="F186" s="816"/>
      <c r="G186" s="816"/>
      <c r="H186" s="816"/>
    </row>
    <row r="187" spans="2:8" ht="16.5">
      <c r="B187" s="816"/>
      <c r="C187" s="816" t="str">
        <f>+D70</f>
        <v>2-3-01-004 Otras Reservas</v>
      </c>
      <c r="D187" s="816"/>
      <c r="E187" s="2524">
        <f>(+G183/F182)*12</f>
        <v>3000000</v>
      </c>
      <c r="F187" s="816"/>
      <c r="G187" s="816"/>
      <c r="H187" s="816"/>
    </row>
    <row r="188" spans="2:8" ht="16.5">
      <c r="B188" s="816"/>
      <c r="C188" s="816"/>
      <c r="D188" s="816"/>
      <c r="E188" s="816"/>
      <c r="F188" s="816"/>
      <c r="G188" s="816"/>
      <c r="H188" s="816"/>
    </row>
    <row r="189" spans="2:8" ht="16.899999999999999" thickBot="1">
      <c r="B189" s="816"/>
      <c r="C189" s="816"/>
      <c r="D189" s="816"/>
      <c r="E189" s="816"/>
      <c r="F189" s="816"/>
      <c r="G189" s="816"/>
      <c r="H189" s="816"/>
    </row>
    <row r="190" spans="2:8" ht="16.899999999999999" thickBot="1">
      <c r="B190" s="1425" t="s">
        <v>1055</v>
      </c>
      <c r="C190" s="2112" t="s">
        <v>1052</v>
      </c>
      <c r="D190" s="2112"/>
      <c r="E190" s="2112"/>
      <c r="F190" s="1426" t="s">
        <v>1056</v>
      </c>
      <c r="G190" s="2455" t="s">
        <v>1057</v>
      </c>
      <c r="H190" s="816"/>
    </row>
    <row r="191" spans="2:8" ht="16.5">
      <c r="B191" s="2457" t="s">
        <v>1638</v>
      </c>
      <c r="C191" s="1056" t="s">
        <v>1058</v>
      </c>
      <c r="D191" s="1056">
        <v>17</v>
      </c>
      <c r="E191" s="2516" t="s">
        <v>1058</v>
      </c>
      <c r="F191" s="2457"/>
      <c r="G191" s="2458"/>
      <c r="H191" s="816"/>
    </row>
    <row r="192" spans="2:8" ht="16.5">
      <c r="B192" s="2457" t="s">
        <v>1707</v>
      </c>
      <c r="C192" s="2459" t="str">
        <f>+'Bce Clasificado 31.12.2024'!B172</f>
        <v>4-1-07-004 Depreciación Edificios</v>
      </c>
      <c r="D192" s="2459"/>
      <c r="E192" s="2459"/>
      <c r="F192" s="2460">
        <f>+G194-F193</f>
        <v>850000</v>
      </c>
      <c r="G192" s="2458"/>
      <c r="H192" s="816"/>
    </row>
    <row r="193" spans="2:10" ht="16.5">
      <c r="B193" s="2457" t="s">
        <v>39</v>
      </c>
      <c r="C193" s="2459" t="str">
        <f>+C187</f>
        <v>2-3-01-004 Otras Reservas</v>
      </c>
      <c r="D193" s="2459"/>
      <c r="E193" s="2459"/>
      <c r="F193" s="2460">
        <f>+E187</f>
        <v>3000000</v>
      </c>
      <c r="G193" s="2461"/>
      <c r="H193" s="816"/>
      <c r="J193" s="816"/>
    </row>
    <row r="194" spans="2:10" ht="16.5">
      <c r="B194" s="2457" t="s">
        <v>295</v>
      </c>
      <c r="C194" s="2459"/>
      <c r="D194" s="2459" t="str">
        <f>+C186</f>
        <v>1-2-10-008 Dep. Acum. de Edificaciones</v>
      </c>
      <c r="E194" s="2459"/>
      <c r="F194" s="2457"/>
      <c r="G194" s="2461">
        <f>+E186</f>
        <v>3850000</v>
      </c>
      <c r="H194" s="816"/>
    </row>
    <row r="195" spans="2:10" ht="16.899999999999999" thickBot="1">
      <c r="B195" s="2432"/>
      <c r="C195" s="2434" t="s">
        <v>1744</v>
      </c>
      <c r="D195" s="2434"/>
      <c r="E195" s="2434"/>
      <c r="F195" s="2432"/>
      <c r="G195" s="2435"/>
      <c r="H195" s="816"/>
    </row>
    <row r="196" spans="2:10">
      <c r="B196" s="789"/>
      <c r="C196" s="789"/>
      <c r="D196" s="789"/>
      <c r="E196" s="789"/>
      <c r="F196" s="789"/>
      <c r="G196" s="789"/>
    </row>
    <row r="197" spans="2:10" ht="13.9" thickBot="1">
      <c r="B197" s="789"/>
      <c r="C197" s="789"/>
      <c r="D197" s="789"/>
      <c r="E197" s="789"/>
      <c r="F197" s="789"/>
      <c r="G197" s="789"/>
    </row>
    <row r="198" spans="2:10" ht="16.899999999999999" thickBot="1">
      <c r="B198" s="816"/>
      <c r="C198" s="713" t="s">
        <v>994</v>
      </c>
      <c r="D198" s="714"/>
      <c r="E198" s="715" t="s">
        <v>1473</v>
      </c>
      <c r="F198" s="2525" t="s">
        <v>1081</v>
      </c>
      <c r="G198" s="2526" t="s">
        <v>1093</v>
      </c>
      <c r="H198" s="816"/>
    </row>
    <row r="199" spans="2:10" ht="16.899999999999999" thickBot="1">
      <c r="B199" s="816"/>
      <c r="C199" s="709" t="s">
        <v>1426</v>
      </c>
      <c r="D199" s="709"/>
      <c r="E199" s="836">
        <v>210000000</v>
      </c>
      <c r="F199" s="2432">
        <v>600</v>
      </c>
      <c r="G199" s="2520">
        <v>63000000</v>
      </c>
      <c r="H199" s="816"/>
    </row>
    <row r="200" spans="2:10" ht="16.899999999999999" thickBot="1">
      <c r="B200" s="816"/>
      <c r="C200" s="709" t="s">
        <v>997</v>
      </c>
      <c r="D200" s="709"/>
      <c r="E200" s="799">
        <v>0</v>
      </c>
      <c r="F200" s="2522" t="s">
        <v>1741</v>
      </c>
      <c r="G200" s="2482">
        <v>122000000</v>
      </c>
      <c r="H200" s="816"/>
    </row>
    <row r="201" spans="2:10" ht="16.899999999999999" thickBot="1">
      <c r="B201" s="816"/>
      <c r="C201" s="1488" t="s">
        <v>1082</v>
      </c>
      <c r="D201" s="2523"/>
      <c r="E201" s="2454">
        <f>SUM(E199:E200)</f>
        <v>210000000</v>
      </c>
      <c r="F201" s="816"/>
      <c r="G201" s="816"/>
      <c r="H201" s="816"/>
    </row>
    <row r="202" spans="2:10" ht="16.5">
      <c r="B202" s="816"/>
      <c r="C202" s="816"/>
      <c r="D202" s="816"/>
      <c r="E202" s="816"/>
      <c r="F202" s="816"/>
      <c r="G202" s="816"/>
      <c r="H202" s="816"/>
    </row>
    <row r="203" spans="2:10" ht="16.5">
      <c r="B203" s="816"/>
      <c r="C203" s="816" t="str">
        <f>+C200</f>
        <v>1-2-10-008 Dep. Acum. de Edificaciones</v>
      </c>
      <c r="D203" s="816"/>
      <c r="E203" s="2524">
        <f>+((E201-G199)/F199)*12</f>
        <v>2940000</v>
      </c>
      <c r="F203" s="816"/>
      <c r="G203" s="816"/>
      <c r="H203" s="816"/>
    </row>
    <row r="204" spans="2:10" ht="16.5">
      <c r="B204" s="816"/>
      <c r="C204" s="816" t="str">
        <f>+C193</f>
        <v>2-3-01-004 Otras Reservas</v>
      </c>
      <c r="D204" s="816"/>
      <c r="E204" s="2524">
        <f>+(G200/F199)*12</f>
        <v>2440000</v>
      </c>
      <c r="F204" s="816"/>
      <c r="G204" s="816"/>
      <c r="H204" s="816"/>
    </row>
    <row r="205" spans="2:10" ht="16.899999999999999" thickBot="1">
      <c r="B205" s="816"/>
      <c r="C205" s="816"/>
      <c r="D205" s="816"/>
      <c r="E205" s="816"/>
      <c r="F205" s="816"/>
      <c r="G205" s="816"/>
      <c r="H205" s="816"/>
    </row>
    <row r="206" spans="2:10" ht="16.899999999999999" thickBot="1">
      <c r="B206" s="1425" t="s">
        <v>1055</v>
      </c>
      <c r="C206" s="2112" t="s">
        <v>1052</v>
      </c>
      <c r="D206" s="2112"/>
      <c r="E206" s="2112"/>
      <c r="F206" s="1426" t="s">
        <v>1056</v>
      </c>
      <c r="G206" s="2455" t="s">
        <v>1057</v>
      </c>
    </row>
    <row r="207" spans="2:10" ht="16.5">
      <c r="B207" s="2457" t="s">
        <v>1638</v>
      </c>
      <c r="C207" s="1056" t="s">
        <v>1058</v>
      </c>
      <c r="D207" s="1056">
        <v>18</v>
      </c>
      <c r="E207" s="2516" t="s">
        <v>1058</v>
      </c>
      <c r="F207" s="2457"/>
      <c r="G207" s="2458"/>
    </row>
    <row r="208" spans="2:10" ht="16.5">
      <c r="B208" s="2457" t="s">
        <v>1707</v>
      </c>
      <c r="C208" s="2459" t="str">
        <f>+C192</f>
        <v>4-1-07-004 Depreciación Edificios</v>
      </c>
      <c r="D208" s="2459"/>
      <c r="E208" s="2459"/>
      <c r="F208" s="2460">
        <f>+G210-F209</f>
        <v>500000</v>
      </c>
      <c r="G208" s="2458"/>
    </row>
    <row r="209" spans="2:7" ht="16.5">
      <c r="B209" s="2457" t="s">
        <v>39</v>
      </c>
      <c r="C209" s="2459" t="str">
        <f>+C204</f>
        <v>2-3-01-004 Otras Reservas</v>
      </c>
      <c r="D209" s="2459"/>
      <c r="E209" s="2459"/>
      <c r="F209" s="2460">
        <f>+E204</f>
        <v>2440000</v>
      </c>
      <c r="G209" s="2461"/>
    </row>
    <row r="210" spans="2:7" ht="16.5">
      <c r="B210" s="2457" t="s">
        <v>295</v>
      </c>
      <c r="C210" s="2459"/>
      <c r="D210" s="2459" t="str">
        <f>+C203</f>
        <v>1-2-10-008 Dep. Acum. de Edificaciones</v>
      </c>
      <c r="E210" s="2459"/>
      <c r="F210" s="2457"/>
      <c r="G210" s="2461">
        <f>+E203</f>
        <v>2940000</v>
      </c>
    </row>
    <row r="211" spans="2:7" ht="16.899999999999999" thickBot="1">
      <c r="B211" s="2432"/>
      <c r="C211" s="2434" t="s">
        <v>1744</v>
      </c>
      <c r="D211" s="2434"/>
      <c r="E211" s="2434"/>
      <c r="F211" s="2432"/>
      <c r="G211" s="2435"/>
    </row>
    <row r="212" spans="2:7">
      <c r="B212" s="789"/>
      <c r="C212" s="789"/>
      <c r="D212" s="789"/>
      <c r="E212" s="789"/>
      <c r="F212" s="789"/>
      <c r="G212" s="789"/>
    </row>
    <row r="213" spans="2:7" ht="13.9" thickBot="1">
      <c r="B213" s="789"/>
      <c r="C213" s="789"/>
      <c r="D213" s="789"/>
      <c r="E213" s="789"/>
      <c r="F213" s="789"/>
      <c r="G213" s="789"/>
    </row>
    <row r="214" spans="2:7" ht="16.899999999999999" thickBot="1">
      <c r="B214" s="789"/>
      <c r="C214" s="713" t="s">
        <v>994</v>
      </c>
      <c r="D214" s="714"/>
      <c r="E214" s="715" t="s">
        <v>1473</v>
      </c>
      <c r="F214" s="2465" t="s">
        <v>1081</v>
      </c>
      <c r="G214" s="2466" t="s">
        <v>1093</v>
      </c>
    </row>
    <row r="215" spans="2:7" ht="16.899999999999999" thickBot="1">
      <c r="B215" s="789"/>
      <c r="C215" s="709" t="s">
        <v>1427</v>
      </c>
      <c r="D215" s="709"/>
      <c r="E215" s="836">
        <v>60000000</v>
      </c>
      <c r="F215" s="1632">
        <v>456</v>
      </c>
      <c r="G215" s="2463">
        <v>6000000</v>
      </c>
    </row>
    <row r="216" spans="2:7" ht="16.899999999999999" thickBot="1">
      <c r="B216" s="789"/>
      <c r="C216" s="709" t="s">
        <v>997</v>
      </c>
      <c r="D216" s="709"/>
      <c r="E216" s="799">
        <v>-40000000</v>
      </c>
      <c r="F216" s="789"/>
      <c r="G216" s="789"/>
    </row>
    <row r="217" spans="2:7" ht="16.899999999999999" thickBot="1">
      <c r="B217" s="789"/>
      <c r="C217" s="1488" t="s">
        <v>1082</v>
      </c>
      <c r="D217" s="2453"/>
      <c r="E217" s="2454">
        <f>SUM(E215:E216)</f>
        <v>20000000</v>
      </c>
      <c r="F217" s="2462"/>
      <c r="G217" s="789"/>
    </row>
    <row r="218" spans="2:7" s="816" customFormat="1" ht="16.5"/>
    <row r="219" spans="2:7" s="816" customFormat="1" ht="16.5">
      <c r="C219" s="816" t="str">
        <f>+C216</f>
        <v>1-2-10-008 Dep. Acum. de Edificaciones</v>
      </c>
      <c r="E219" s="2524">
        <f>ROUND(+((E217-G215)/F215)*12,0)</f>
        <v>368421</v>
      </c>
    </row>
    <row r="220" spans="2:7" s="816" customFormat="1" ht="16.899999999999999" thickBot="1"/>
    <row r="221" spans="2:7" s="816" customFormat="1" ht="16.899999999999999" thickBot="1">
      <c r="B221" s="1425" t="s">
        <v>1055</v>
      </c>
      <c r="C221" s="2112" t="s">
        <v>1052</v>
      </c>
      <c r="D221" s="2112"/>
      <c r="E221" s="2112"/>
      <c r="F221" s="1426" t="s">
        <v>1056</v>
      </c>
      <c r="G221" s="2455" t="s">
        <v>1057</v>
      </c>
    </row>
    <row r="222" spans="2:7" s="816" customFormat="1" ht="16.5">
      <c r="B222" s="2457" t="s">
        <v>1638</v>
      </c>
      <c r="C222" s="1056" t="s">
        <v>1058</v>
      </c>
      <c r="D222" s="1056">
        <v>19</v>
      </c>
      <c r="E222" s="2516" t="s">
        <v>1058</v>
      </c>
      <c r="F222" s="2457"/>
      <c r="G222" s="2458"/>
    </row>
    <row r="223" spans="2:7" s="816" customFormat="1" ht="16.5">
      <c r="B223" s="2457" t="s">
        <v>1707</v>
      </c>
      <c r="C223" s="2459" t="str">
        <f>+C208</f>
        <v>4-1-07-004 Depreciación Edificios</v>
      </c>
      <c r="D223" s="2459"/>
      <c r="E223" s="2459"/>
      <c r="F223" s="2460">
        <f>+E219</f>
        <v>368421</v>
      </c>
      <c r="G223" s="2458"/>
    </row>
    <row r="224" spans="2:7" s="816" customFormat="1" ht="16.5">
      <c r="B224" s="2457" t="s">
        <v>295</v>
      </c>
      <c r="C224" s="2459"/>
      <c r="D224" s="2459" t="str">
        <f>+C219</f>
        <v>1-2-10-008 Dep. Acum. de Edificaciones</v>
      </c>
      <c r="E224" s="2459"/>
      <c r="F224" s="2460"/>
      <c r="G224" s="2461">
        <f>+F223</f>
        <v>368421</v>
      </c>
    </row>
    <row r="225" spans="2:7" s="816" customFormat="1" ht="16.5">
      <c r="B225" s="2457"/>
      <c r="C225" s="2459"/>
      <c r="D225" s="2459"/>
      <c r="E225" s="2459"/>
      <c r="F225" s="2457"/>
      <c r="G225" s="2461"/>
    </row>
    <row r="226" spans="2:7" s="816" customFormat="1" ht="16.899999999999999" thickBot="1">
      <c r="B226" s="2432"/>
      <c r="C226" s="2434" t="s">
        <v>1744</v>
      </c>
      <c r="D226" s="2434"/>
      <c r="E226" s="2434"/>
      <c r="F226" s="2432"/>
      <c r="G226" s="2435"/>
    </row>
    <row r="227" spans="2:7" s="816" customFormat="1" ht="16.5"/>
    <row r="228" spans="2:7">
      <c r="B228" s="789"/>
      <c r="C228" s="789"/>
      <c r="D228" s="789"/>
      <c r="E228" s="789"/>
      <c r="F228" s="789"/>
      <c r="G228" s="789"/>
    </row>
    <row r="229" spans="2:7" ht="13.9" thickBot="1">
      <c r="B229" s="789"/>
      <c r="C229" s="789"/>
      <c r="D229" s="789"/>
      <c r="E229" s="789"/>
      <c r="F229" s="789"/>
      <c r="G229" s="789"/>
    </row>
    <row r="230" spans="2:7" ht="16.899999999999999" thickBot="1">
      <c r="B230" s="789"/>
      <c r="C230" s="713" t="s">
        <v>1086</v>
      </c>
      <c r="D230" s="714"/>
      <c r="E230" s="715" t="s">
        <v>1473</v>
      </c>
      <c r="F230" s="2465" t="s">
        <v>1081</v>
      </c>
      <c r="G230" s="2466" t="s">
        <v>1093</v>
      </c>
    </row>
    <row r="231" spans="2:7" ht="16.899999999999999" thickBot="1">
      <c r="B231" s="789"/>
      <c r="C231" s="709" t="str">
        <f>+J17</f>
        <v xml:space="preserve">1-2-10-003 Vehículos </v>
      </c>
      <c r="D231" s="709"/>
      <c r="E231" s="836">
        <f>+L17</f>
        <v>30000000</v>
      </c>
      <c r="F231" s="1632">
        <f>+L126</f>
        <v>36</v>
      </c>
      <c r="G231" s="2463">
        <f>+N142</f>
        <v>8000000</v>
      </c>
    </row>
    <row r="232" spans="2:7" ht="16.899999999999999" thickBot="1">
      <c r="B232" s="789"/>
      <c r="C232" s="709" t="str">
        <f>+J18</f>
        <v xml:space="preserve">1-2-10-010 Dep. Acum. de Vehículos </v>
      </c>
      <c r="D232" s="709"/>
      <c r="E232" s="799">
        <f>+L18</f>
        <v>-20000000</v>
      </c>
      <c r="F232" s="789"/>
      <c r="G232" s="789"/>
    </row>
    <row r="233" spans="2:7" ht="16.899999999999999" thickBot="1">
      <c r="B233" s="789"/>
      <c r="C233" s="1488" t="s">
        <v>1082</v>
      </c>
      <c r="D233" s="2453"/>
      <c r="E233" s="2454">
        <f>SUM(E231:E232)</f>
        <v>10000000</v>
      </c>
      <c r="F233" s="2462"/>
      <c r="G233" s="789"/>
    </row>
    <row r="234" spans="2:7" ht="16.5">
      <c r="B234" s="816"/>
      <c r="C234" s="816"/>
      <c r="D234" s="816"/>
      <c r="E234" s="816"/>
      <c r="F234" s="816"/>
      <c r="G234" s="816"/>
    </row>
    <row r="235" spans="2:7" ht="16.5">
      <c r="B235" s="816"/>
      <c r="C235" s="816" t="str">
        <f>+C232</f>
        <v xml:space="preserve">1-2-10-010 Dep. Acum. de Vehículos </v>
      </c>
      <c r="D235" s="816"/>
      <c r="E235" s="2524">
        <f>ROUND(+((E233-G231)/F231)*12,0)</f>
        <v>666667</v>
      </c>
      <c r="F235" s="816"/>
      <c r="G235" s="816"/>
    </row>
    <row r="236" spans="2:7" ht="13.9" thickBot="1">
      <c r="B236" s="789"/>
      <c r="C236" s="789"/>
      <c r="D236" s="789"/>
      <c r="E236" s="789"/>
      <c r="F236" s="789"/>
      <c r="G236" s="789"/>
    </row>
    <row r="237" spans="2:7" ht="16.899999999999999" thickBot="1">
      <c r="B237" s="1425" t="s">
        <v>1055</v>
      </c>
      <c r="C237" s="2112" t="s">
        <v>1052</v>
      </c>
      <c r="D237" s="2112"/>
      <c r="E237" s="2112"/>
      <c r="F237" s="1426" t="s">
        <v>1056</v>
      </c>
      <c r="G237" s="2455" t="s">
        <v>1057</v>
      </c>
    </row>
    <row r="238" spans="2:7" ht="16.5">
      <c r="B238" s="2457" t="s">
        <v>1638</v>
      </c>
      <c r="C238" s="1056" t="s">
        <v>1058</v>
      </c>
      <c r="D238" s="1056">
        <v>20</v>
      </c>
      <c r="E238" s="2516" t="s">
        <v>1058</v>
      </c>
      <c r="F238" s="2457"/>
      <c r="G238" s="2458"/>
    </row>
    <row r="239" spans="2:7" ht="16.5">
      <c r="B239" s="2457" t="s">
        <v>1707</v>
      </c>
      <c r="C239" s="2459" t="str">
        <f>+'Bce Clasificado 31.12.2024'!B175</f>
        <v>4-1-07-005 Depreciación Vehiculos</v>
      </c>
      <c r="D239" s="2459"/>
      <c r="E239" s="2459"/>
      <c r="F239" s="2460">
        <f>+E235</f>
        <v>666667</v>
      </c>
      <c r="G239" s="2458"/>
    </row>
    <row r="240" spans="2:7" ht="16.5">
      <c r="B240" s="2457" t="s">
        <v>295</v>
      </c>
      <c r="C240" s="2459"/>
      <c r="D240" s="2459" t="str">
        <f>+C235</f>
        <v xml:space="preserve">1-2-10-010 Dep. Acum. de Vehículos </v>
      </c>
      <c r="E240" s="2459"/>
      <c r="F240" s="2460"/>
      <c r="G240" s="2461">
        <f>+F239</f>
        <v>666667</v>
      </c>
    </row>
    <row r="241" spans="2:7" ht="16.5">
      <c r="B241" s="2457"/>
      <c r="C241" s="2459"/>
      <c r="D241" s="2459"/>
      <c r="E241" s="2459"/>
      <c r="F241" s="2457"/>
      <c r="G241" s="2461"/>
    </row>
    <row r="242" spans="2:7" ht="16.899999999999999" thickBot="1">
      <c r="B242" s="2432"/>
      <c r="C242" s="2434" t="s">
        <v>1744</v>
      </c>
      <c r="D242" s="2434"/>
      <c r="E242" s="2434"/>
      <c r="F242" s="2432"/>
      <c r="G242" s="2435"/>
    </row>
    <row r="243" spans="2:7">
      <c r="B243" s="789"/>
      <c r="C243" s="789"/>
      <c r="D243" s="789"/>
      <c r="E243" s="789"/>
      <c r="F243" s="789"/>
      <c r="G243" s="789"/>
    </row>
    <row r="244" spans="2:7" ht="13.9" thickBot="1">
      <c r="B244" s="789"/>
      <c r="C244" s="789"/>
      <c r="D244" s="789"/>
      <c r="E244" s="789"/>
      <c r="F244" s="789"/>
      <c r="G244" s="789"/>
    </row>
    <row r="245" spans="2:7" ht="16.899999999999999" thickBot="1">
      <c r="B245" s="789"/>
      <c r="C245" s="713" t="s">
        <v>1748</v>
      </c>
      <c r="D245" s="714"/>
      <c r="E245" s="715" t="s">
        <v>1473</v>
      </c>
      <c r="F245" s="2465" t="s">
        <v>1081</v>
      </c>
      <c r="G245" s="2466" t="s">
        <v>1093</v>
      </c>
    </row>
    <row r="246" spans="2:7" ht="16.899999999999999" thickBot="1">
      <c r="B246" s="789"/>
      <c r="C246" s="709" t="str">
        <f>+C141</f>
        <v>1-2-10-055 Escritorios</v>
      </c>
      <c r="D246" s="709"/>
      <c r="E246" s="836">
        <f>+F167</f>
        <v>20000000</v>
      </c>
      <c r="F246" s="2464">
        <f>+L130</f>
        <v>60</v>
      </c>
      <c r="G246" s="2544">
        <f>+N130</f>
        <v>4800000</v>
      </c>
    </row>
    <row r="247" spans="2:7" ht="16.899999999999999" thickBot="1">
      <c r="B247" s="789"/>
      <c r="C247" s="709" t="str">
        <f t="shared" ref="C247:C248" si="3">+C142</f>
        <v>1-2-10-056 Sillas</v>
      </c>
      <c r="D247" s="789"/>
      <c r="E247" s="836">
        <f t="shared" ref="E247:E248" si="4">+F168</f>
        <v>8000000</v>
      </c>
      <c r="F247" s="1632">
        <f t="shared" ref="F247:F248" si="5">+L131</f>
        <v>48</v>
      </c>
      <c r="G247" s="2463">
        <f t="shared" ref="G247:G248" si="6">+N131</f>
        <v>2400000</v>
      </c>
    </row>
    <row r="248" spans="2:7" ht="16.899999999999999" thickBot="1">
      <c r="B248" s="789"/>
      <c r="C248" s="709" t="str">
        <f t="shared" si="3"/>
        <v>1-2-10-057 Estantes</v>
      </c>
      <c r="D248" s="789"/>
      <c r="E248" s="2454">
        <f t="shared" si="4"/>
        <v>5000000</v>
      </c>
      <c r="F248" s="1632">
        <f t="shared" si="5"/>
        <v>72</v>
      </c>
      <c r="G248" s="2463">
        <f t="shared" si="6"/>
        <v>2000000</v>
      </c>
    </row>
    <row r="249" spans="2:7">
      <c r="B249" s="789"/>
      <c r="C249" s="789"/>
      <c r="D249" s="789"/>
      <c r="E249" s="789"/>
      <c r="F249" s="789"/>
      <c r="G249" s="789"/>
    </row>
    <row r="250" spans="2:7" ht="13.9" thickBot="1">
      <c r="B250" s="789"/>
      <c r="C250" s="789"/>
      <c r="D250" s="789"/>
      <c r="E250" s="789"/>
      <c r="F250" s="789"/>
      <c r="G250" s="789"/>
    </row>
    <row r="251" spans="2:7" ht="16.899999999999999" thickBot="1">
      <c r="B251" s="1425" t="s">
        <v>1055</v>
      </c>
      <c r="C251" s="2177" t="s">
        <v>1052</v>
      </c>
      <c r="D251" s="2112"/>
      <c r="E251" s="2113"/>
      <c r="F251" s="1426" t="s">
        <v>1056</v>
      </c>
      <c r="G251" s="2455" t="s">
        <v>1057</v>
      </c>
    </row>
    <row r="252" spans="2:7" ht="16.5">
      <c r="B252" s="2457" t="s">
        <v>1638</v>
      </c>
      <c r="C252" s="865" t="s">
        <v>1058</v>
      </c>
      <c r="D252" s="1056">
        <v>21</v>
      </c>
      <c r="E252" s="1057" t="s">
        <v>1058</v>
      </c>
      <c r="F252" s="2457"/>
      <c r="G252" s="2458"/>
    </row>
    <row r="253" spans="2:7" ht="16.5">
      <c r="B253" s="2457" t="s">
        <v>1707</v>
      </c>
      <c r="C253" s="2456" t="str">
        <f>+'Bce Clasificado 31.12.2024'!B171</f>
        <v>4-1-07-003 Depreciación Muebles y Enseres</v>
      </c>
      <c r="D253" s="2459"/>
      <c r="E253" s="2458"/>
      <c r="F253" s="2460">
        <f>+G254+G255+G256</f>
        <v>4940000</v>
      </c>
      <c r="G253" s="2458"/>
    </row>
    <row r="254" spans="2:7" ht="16.5">
      <c r="B254" s="2457" t="s">
        <v>295</v>
      </c>
      <c r="C254" s="2456"/>
      <c r="D254" s="2459" t="str">
        <f>+'Bce Clasificado 31.12.2024'!B112</f>
        <v>1-2-10-061 Dep. Acum. Escritorios</v>
      </c>
      <c r="E254" s="2458"/>
      <c r="F254" s="2460"/>
      <c r="G254" s="2461">
        <f>ROUND(+((E246-G246)/F246)*12,0)</f>
        <v>3040000</v>
      </c>
    </row>
    <row r="255" spans="2:7" ht="16.5">
      <c r="B255" s="2457" t="str">
        <f>+B254</f>
        <v>Pasivo</v>
      </c>
      <c r="C255" s="2456"/>
      <c r="D255" s="2459" t="str">
        <f>+'Bce Clasificado 31.12.2024'!B113</f>
        <v>1-2-10-062 Dep. Acum. Sillas</v>
      </c>
      <c r="E255" s="2458"/>
      <c r="F255" s="2457"/>
      <c r="G255" s="2461">
        <f>ROUND(+((E247-G247)/F247)*12,0)</f>
        <v>1400000</v>
      </c>
    </row>
    <row r="256" spans="2:7" ht="16.5">
      <c r="B256" s="2457" t="str">
        <f>+B255</f>
        <v>Pasivo</v>
      </c>
      <c r="C256" s="2456"/>
      <c r="D256" s="2459" t="str">
        <f>+'Bce Clasificado 31.12.2024'!B114</f>
        <v>1-2-10-063 Dep. Acum. Estantes</v>
      </c>
      <c r="E256" s="2458"/>
      <c r="F256" s="2457"/>
      <c r="G256" s="2461">
        <f>ROUND(+((E248-G248)/F248)*12,0)</f>
        <v>500000</v>
      </c>
    </row>
    <row r="257" spans="2:7" ht="16.5">
      <c r="B257" s="2457"/>
      <c r="C257" s="2456" t="s">
        <v>1752</v>
      </c>
      <c r="D257" s="2459"/>
      <c r="E257" s="2458"/>
      <c r="F257" s="2457"/>
      <c r="G257" s="2458"/>
    </row>
    <row r="258" spans="2:7" ht="16.899999999999999" thickBot="1">
      <c r="B258" s="2432"/>
      <c r="C258" s="2433"/>
      <c r="D258" s="2434"/>
      <c r="E258" s="2435"/>
      <c r="F258" s="2432"/>
      <c r="G258" s="2435"/>
    </row>
    <row r="259" spans="2:7">
      <c r="B259" s="789"/>
      <c r="C259" s="789"/>
      <c r="D259" s="789"/>
      <c r="E259" s="789"/>
      <c r="F259" s="789"/>
      <c r="G259" s="789"/>
    </row>
    <row r="260" spans="2:7">
      <c r="B260" s="789"/>
      <c r="C260" s="789"/>
      <c r="D260" s="789"/>
      <c r="E260" s="789"/>
      <c r="F260" s="789"/>
      <c r="G260" s="789"/>
    </row>
    <row r="261" spans="2:7" ht="13.9" thickBot="1">
      <c r="B261" s="789"/>
      <c r="C261" s="789"/>
      <c r="D261" s="789"/>
      <c r="E261" s="789"/>
      <c r="F261" s="789"/>
      <c r="G261" s="789"/>
    </row>
    <row r="262" spans="2:7" ht="16.899999999999999" thickBot="1">
      <c r="B262" s="789"/>
      <c r="C262" s="713" t="s">
        <v>1753</v>
      </c>
      <c r="D262" s="714"/>
      <c r="E262" s="715" t="s">
        <v>1473</v>
      </c>
      <c r="F262" s="2465" t="s">
        <v>1081</v>
      </c>
      <c r="G262" s="2466" t="s">
        <v>1093</v>
      </c>
    </row>
    <row r="263" spans="2:7" ht="16.899999999999999" thickBot="1">
      <c r="B263" s="789"/>
      <c r="C263" s="709" t="str">
        <f>+J23</f>
        <v>1-2-10-006 Otras Máquinas y Equipos</v>
      </c>
      <c r="D263" s="709"/>
      <c r="E263" s="836">
        <f>+L23</f>
        <v>275000000</v>
      </c>
      <c r="F263" s="1632">
        <f>+L136</f>
        <v>180</v>
      </c>
      <c r="G263" s="2463">
        <f>+N136</f>
        <v>20000000</v>
      </c>
    </row>
    <row r="264" spans="2:7" ht="16.899999999999999" thickBot="1">
      <c r="B264" s="789"/>
      <c r="C264" s="709" t="str">
        <f>+J24</f>
        <v>1-2-10-012 Dep. Acum. de Otras Máquinas y Equipos</v>
      </c>
      <c r="D264" s="709"/>
      <c r="E264" s="799">
        <f>+L24</f>
        <v>-16000000</v>
      </c>
      <c r="F264" s="789"/>
      <c r="G264" s="789"/>
    </row>
    <row r="265" spans="2:7" ht="16.899999999999999" thickBot="1">
      <c r="B265" s="789"/>
      <c r="C265" s="1488" t="s">
        <v>1082</v>
      </c>
      <c r="D265" s="2453"/>
      <c r="E265" s="2454">
        <f>SUM(E263:E264)</f>
        <v>259000000</v>
      </c>
      <c r="F265" s="2462"/>
      <c r="G265" s="789"/>
    </row>
    <row r="266" spans="2:7" ht="16.5">
      <c r="B266" s="816"/>
      <c r="C266" s="816"/>
      <c r="D266" s="816"/>
      <c r="E266" s="816"/>
      <c r="F266" s="816"/>
      <c r="G266" s="816"/>
    </row>
    <row r="267" spans="2:7" ht="16.5">
      <c r="B267" s="816"/>
      <c r="C267" s="816" t="str">
        <f>+C264</f>
        <v>1-2-10-012 Dep. Acum. de Otras Máquinas y Equipos</v>
      </c>
      <c r="D267" s="816"/>
      <c r="E267" s="2524">
        <f>ROUND(+((E265-G263)/F263)*12,0)</f>
        <v>15933333</v>
      </c>
      <c r="F267" s="816"/>
      <c r="G267" s="816"/>
    </row>
    <row r="268" spans="2:7" ht="13.9" thickBot="1">
      <c r="B268" s="789"/>
      <c r="C268" s="789"/>
      <c r="D268" s="789"/>
      <c r="E268" s="789"/>
      <c r="F268" s="789"/>
      <c r="G268" s="789"/>
    </row>
    <row r="269" spans="2:7" ht="16.899999999999999" thickBot="1">
      <c r="B269" s="1425" t="s">
        <v>1055</v>
      </c>
      <c r="C269" s="2112" t="s">
        <v>1052</v>
      </c>
      <c r="D269" s="2112"/>
      <c r="E269" s="2112"/>
      <c r="F269" s="1426" t="s">
        <v>1056</v>
      </c>
      <c r="G269" s="2455" t="s">
        <v>1057</v>
      </c>
    </row>
    <row r="270" spans="2:7" ht="16.5">
      <c r="B270" s="2457" t="s">
        <v>1638</v>
      </c>
      <c r="C270" s="1056" t="s">
        <v>1058</v>
      </c>
      <c r="D270" s="1056">
        <v>22</v>
      </c>
      <c r="E270" s="2516" t="s">
        <v>1058</v>
      </c>
      <c r="F270" s="2457"/>
      <c r="G270" s="2458"/>
    </row>
    <row r="271" spans="2:7" ht="16.5">
      <c r="B271" s="2457" t="s">
        <v>1707</v>
      </c>
      <c r="C271" s="2459" t="str">
        <f>+'Bce Clasificado 31.12.2024'!B170</f>
        <v>4-1-07-006 Depreciación Otras Maquinas</v>
      </c>
      <c r="D271" s="2459"/>
      <c r="E271" s="2459"/>
      <c r="F271" s="2460">
        <f>+E267</f>
        <v>15933333</v>
      </c>
      <c r="G271" s="2458"/>
    </row>
    <row r="272" spans="2:7" ht="16.5">
      <c r="B272" s="2457" t="s">
        <v>295</v>
      </c>
      <c r="C272" s="2459"/>
      <c r="D272" s="2459" t="str">
        <f>+C267</f>
        <v>1-2-10-012 Dep. Acum. de Otras Máquinas y Equipos</v>
      </c>
      <c r="E272" s="2459"/>
      <c r="F272" s="2460"/>
      <c r="G272" s="2461">
        <f>+F271</f>
        <v>15933333</v>
      </c>
    </row>
    <row r="273" spans="2:8" ht="16.5">
      <c r="B273" s="2457"/>
      <c r="C273" s="2459"/>
      <c r="D273" s="2459"/>
      <c r="E273" s="2459"/>
      <c r="F273" s="2457"/>
      <c r="G273" s="2461"/>
    </row>
    <row r="274" spans="2:8" ht="16.899999999999999" thickBot="1">
      <c r="B274" s="2432"/>
      <c r="C274" s="2434" t="s">
        <v>1744</v>
      </c>
      <c r="D274" s="2434"/>
      <c r="E274" s="2434"/>
      <c r="F274" s="2432"/>
      <c r="G274" s="2435"/>
    </row>
    <row r="275" spans="2:8">
      <c r="B275" s="789"/>
      <c r="C275" s="789"/>
      <c r="D275" s="789"/>
      <c r="E275" s="789"/>
      <c r="F275" s="789"/>
      <c r="G275" s="789"/>
    </row>
    <row r="276" spans="2:8" ht="13.9" thickBot="1">
      <c r="B276" s="789"/>
      <c r="C276" s="789"/>
      <c r="D276" s="789"/>
      <c r="E276" s="789"/>
      <c r="F276" s="789"/>
      <c r="G276" s="789"/>
    </row>
    <row r="277" spans="2:8" ht="16.899999999999999" thickBot="1">
      <c r="B277" s="789"/>
      <c r="C277" s="713" t="s">
        <v>1755</v>
      </c>
      <c r="D277" s="714"/>
      <c r="E277" s="715" t="s">
        <v>1473</v>
      </c>
      <c r="F277" s="2465" t="s">
        <v>1081</v>
      </c>
      <c r="G277" s="2466" t="s">
        <v>1093</v>
      </c>
      <c r="H277" s="2465" t="s">
        <v>1741</v>
      </c>
    </row>
    <row r="278" spans="2:8" ht="16.899999999999999" thickBot="1">
      <c r="B278" s="789"/>
      <c r="C278" s="709" t="str">
        <f>+'Bce Clasificado 31.12.2024'!B115</f>
        <v>1-2-10-058 Maquina Transportadora</v>
      </c>
      <c r="D278" s="709"/>
      <c r="E278" s="836">
        <f>+'Bce Clasificado 31.12.2024'!E115</f>
        <v>20000000</v>
      </c>
      <c r="F278" s="2464">
        <f>+L142</f>
        <v>36</v>
      </c>
      <c r="G278" s="2544">
        <f>+N142</f>
        <v>8000000</v>
      </c>
      <c r="H278" s="2513">
        <f>+G170</f>
        <v>10909800</v>
      </c>
    </row>
    <row r="279" spans="2:8" ht="16.899999999999999" thickBot="1">
      <c r="B279" s="789"/>
      <c r="C279" s="709" t="str">
        <f>+'Bce Clasificado 31.12.2024'!B116</f>
        <v>1-2-10-059 Maquina Cortadora</v>
      </c>
      <c r="D279" s="789"/>
      <c r="E279" s="836">
        <f>+'Bce Clasificado 31.12.2024'!E116</f>
        <v>8000000</v>
      </c>
      <c r="F279" s="2464">
        <f t="shared" ref="F279:F280" si="7">+L143</f>
        <v>24</v>
      </c>
      <c r="G279" s="2544">
        <f t="shared" ref="G279:G280" si="8">+N143</f>
        <v>3200000</v>
      </c>
      <c r="H279" s="2513">
        <f t="shared" ref="H279:H280" si="9">+G171</f>
        <v>4363200</v>
      </c>
    </row>
    <row r="280" spans="2:8" ht="16.899999999999999" thickBot="1">
      <c r="B280" s="789"/>
      <c r="C280" s="709" t="str">
        <f>+'Bce Clasificado 31.12.2024'!B117</f>
        <v>1-2-10-060 Maquina Recolectora</v>
      </c>
      <c r="D280" s="789"/>
      <c r="E280" s="2454">
        <f>+'Bce Clasificado 31.12.2024'!E117</f>
        <v>5000000</v>
      </c>
      <c r="F280" s="2464">
        <f t="shared" si="7"/>
        <v>60</v>
      </c>
      <c r="G280" s="2544">
        <f t="shared" si="8"/>
        <v>2000000</v>
      </c>
      <c r="H280" s="2561">
        <f t="shared" si="9"/>
        <v>2727000</v>
      </c>
    </row>
    <row r="281" spans="2:8" ht="13.9" thickBot="1">
      <c r="B281" s="789"/>
      <c r="C281" s="789"/>
      <c r="D281" s="789"/>
      <c r="E281" s="789"/>
      <c r="F281" s="789"/>
      <c r="G281" s="789"/>
    </row>
    <row r="282" spans="2:8" ht="13.9" thickBot="1">
      <c r="B282" s="789"/>
      <c r="C282" s="789"/>
      <c r="D282" s="789"/>
      <c r="E282" s="789"/>
      <c r="F282" s="2465" t="s">
        <v>1741</v>
      </c>
      <c r="G282" s="2465" t="s">
        <v>1707</v>
      </c>
    </row>
    <row r="283" spans="2:8" s="816" customFormat="1" ht="16.5">
      <c r="C283" s="816" t="str">
        <f>+'Bce Clasificado 31.12.2024'!B118</f>
        <v>1-2-10-064 Dep. Acum. Maquina Transportadora</v>
      </c>
      <c r="E283" s="2524">
        <f>ROUND(+((E278-G278)/F278)*12,0)</f>
        <v>4000000</v>
      </c>
      <c r="F283" s="847">
        <f>ROUND(+(H278/F278)*12,0)</f>
        <v>3636600</v>
      </c>
      <c r="G283" s="2460">
        <f>+E283-F283</f>
        <v>363400</v>
      </c>
    </row>
    <row r="284" spans="2:8" s="816" customFormat="1" ht="16.5">
      <c r="C284" s="816" t="str">
        <f>+'Bce Clasificado 31.12.2024'!B119</f>
        <v>1-2-10-065 Dep. Acum. Maquina Cortadora</v>
      </c>
      <c r="E284" s="2524">
        <f t="shared" ref="E284:E285" si="10">ROUND(+((E279-G279)/F279)*12,0)</f>
        <v>2400000</v>
      </c>
      <c r="F284" s="847">
        <f t="shared" ref="F284:F285" si="11">ROUND(+(H279/F279)*12,0)</f>
        <v>2181600</v>
      </c>
      <c r="G284" s="2460">
        <f t="shared" ref="G284:G285" si="12">+E284-F284</f>
        <v>218400</v>
      </c>
    </row>
    <row r="285" spans="2:8" s="816" customFormat="1" ht="16.899999999999999" thickBot="1">
      <c r="C285" s="816" t="str">
        <f>+'Bce Clasificado 31.12.2024'!B120</f>
        <v>1-2-10-066 Dep. Acum. Maquina Recolectora</v>
      </c>
      <c r="E285" s="2524">
        <f t="shared" si="10"/>
        <v>600000</v>
      </c>
      <c r="F285" s="848">
        <f t="shared" si="11"/>
        <v>545400</v>
      </c>
      <c r="G285" s="2567">
        <f t="shared" si="12"/>
        <v>54600</v>
      </c>
    </row>
    <row r="286" spans="2:8" s="816" customFormat="1" ht="16.5"/>
    <row r="287" spans="2:8" s="816" customFormat="1" ht="16.5"/>
    <row r="288" spans="2:8" ht="13.9" thickBot="1">
      <c r="B288" s="789"/>
      <c r="C288" s="789"/>
      <c r="D288" s="789"/>
      <c r="E288" s="789"/>
      <c r="F288" s="789"/>
      <c r="G288" s="789"/>
    </row>
    <row r="289" spans="2:7" ht="16.899999999999999" thickBot="1">
      <c r="B289" s="1425" t="s">
        <v>1055</v>
      </c>
      <c r="C289" s="2177" t="s">
        <v>1052</v>
      </c>
      <c r="D289" s="2112"/>
      <c r="E289" s="2113"/>
      <c r="F289" s="1426" t="s">
        <v>1056</v>
      </c>
      <c r="G289" s="2455" t="s">
        <v>1057</v>
      </c>
    </row>
    <row r="290" spans="2:7" s="816" customFormat="1" ht="16.5">
      <c r="B290" s="2457" t="s">
        <v>1638</v>
      </c>
      <c r="C290" s="865" t="s">
        <v>1058</v>
      </c>
      <c r="D290" s="1056">
        <v>23</v>
      </c>
      <c r="E290" s="1057" t="s">
        <v>1058</v>
      </c>
      <c r="F290" s="2457"/>
      <c r="G290" s="2458"/>
    </row>
    <row r="291" spans="2:7" s="816" customFormat="1" ht="16.5">
      <c r="B291" s="2457" t="s">
        <v>1707</v>
      </c>
      <c r="C291" s="2456" t="str">
        <f>+'Bce Clasificado 31.12.2024'!B169</f>
        <v>4-1-07-002 Depreciación Maquinarias y Equipos</v>
      </c>
      <c r="D291" s="2459"/>
      <c r="E291" s="2458"/>
      <c r="F291" s="2460">
        <f>+G283+G284+G285</f>
        <v>636400</v>
      </c>
      <c r="G291" s="2458"/>
    </row>
    <row r="292" spans="2:7" s="816" customFormat="1" ht="16.5">
      <c r="B292" s="2457" t="s">
        <v>39</v>
      </c>
      <c r="C292" s="2456" t="str">
        <f>+'Bce Clasificado 31.12.2024'!H76</f>
        <v>2-3-01-004 Otras Reservas</v>
      </c>
      <c r="D292" s="2459"/>
      <c r="E292" s="2458"/>
      <c r="F292" s="2460">
        <f>+F283+F284+F285</f>
        <v>6363600</v>
      </c>
      <c r="G292" s="2461"/>
    </row>
    <row r="293" spans="2:7" s="816" customFormat="1" ht="16.5">
      <c r="B293" s="2457" t="s">
        <v>295</v>
      </c>
      <c r="C293" s="2456"/>
      <c r="D293" s="2459" t="str">
        <f>+C283</f>
        <v>1-2-10-064 Dep. Acum. Maquina Transportadora</v>
      </c>
      <c r="E293" s="2458"/>
      <c r="F293" s="2457"/>
      <c r="G293" s="2461">
        <f>+E283</f>
        <v>4000000</v>
      </c>
    </row>
    <row r="294" spans="2:7" s="816" customFormat="1" ht="16.5">
      <c r="B294" s="2457" t="str">
        <f>+B293</f>
        <v>Pasivo</v>
      </c>
      <c r="C294" s="2456"/>
      <c r="D294" s="2459" t="str">
        <f>+C284</f>
        <v>1-2-10-065 Dep. Acum. Maquina Cortadora</v>
      </c>
      <c r="E294" s="2458"/>
      <c r="F294" s="2457"/>
      <c r="G294" s="2461">
        <f>+E284</f>
        <v>2400000</v>
      </c>
    </row>
    <row r="295" spans="2:7" s="816" customFormat="1" ht="16.5">
      <c r="B295" s="2457" t="str">
        <f>+B294</f>
        <v>Pasivo</v>
      </c>
      <c r="C295" s="2456"/>
      <c r="D295" s="2459" t="str">
        <f>+C285</f>
        <v>1-2-10-066 Dep. Acum. Maquina Recolectora</v>
      </c>
      <c r="E295" s="2458"/>
      <c r="F295" s="2457"/>
      <c r="G295" s="2461">
        <f>+E285</f>
        <v>600000</v>
      </c>
    </row>
    <row r="296" spans="2:7" s="816" customFormat="1" ht="16.899999999999999" thickBot="1">
      <c r="B296" s="2432"/>
      <c r="C296" s="2433" t="s">
        <v>1759</v>
      </c>
      <c r="D296" s="2434"/>
      <c r="E296" s="2435"/>
      <c r="F296" s="2432"/>
      <c r="G296" s="2435"/>
    </row>
    <row r="297" spans="2:7" s="816" customFormat="1" ht="16.5">
      <c r="F297" s="2524">
        <f>SUM(F290:F296)</f>
        <v>7000000</v>
      </c>
      <c r="G297" s="2524">
        <f>SUM(G290:G296)</f>
        <v>7000000</v>
      </c>
    </row>
    <row r="298" spans="2:7" s="816" customFormat="1" ht="16.5">
      <c r="F298" s="2524"/>
      <c r="G298" s="2524">
        <f>+F297-G297</f>
        <v>0</v>
      </c>
    </row>
    <row r="299" spans="2:7" s="816" customFormat="1" ht="16.5">
      <c r="F299" s="2524"/>
      <c r="G299" s="2524"/>
    </row>
    <row r="300" spans="2:7">
      <c r="B300" s="789"/>
      <c r="C300" s="789"/>
      <c r="D300" s="789"/>
      <c r="E300" s="789"/>
      <c r="F300" s="789"/>
      <c r="G300" s="789"/>
    </row>
    <row r="301" spans="2:7">
      <c r="B301" s="789"/>
      <c r="C301" s="789"/>
      <c r="D301" s="789"/>
      <c r="E301" s="789"/>
      <c r="F301" s="789"/>
      <c r="G301" s="789"/>
    </row>
    <row r="302" spans="2:7">
      <c r="B302" s="789"/>
      <c r="C302" s="789"/>
      <c r="D302" s="789"/>
      <c r="E302" s="789"/>
      <c r="F302" s="789"/>
      <c r="G302" s="789"/>
    </row>
    <row r="303" spans="2:7">
      <c r="B303" s="789"/>
      <c r="C303" s="789"/>
      <c r="D303" s="789"/>
      <c r="E303" s="789"/>
      <c r="F303" s="789"/>
      <c r="G303" s="789"/>
    </row>
    <row r="304" spans="2:7">
      <c r="B304" s="789"/>
      <c r="C304" s="789"/>
      <c r="D304" s="789"/>
      <c r="E304" s="789"/>
      <c r="F304" s="789"/>
      <c r="G304" s="789"/>
    </row>
    <row r="305" s="789" customFormat="1"/>
    <row r="306" s="789" customFormat="1"/>
    <row r="307" s="789" customFormat="1"/>
    <row r="308" s="789" customFormat="1"/>
    <row r="309" s="789" customFormat="1"/>
    <row r="310" s="789" customFormat="1"/>
    <row r="311" s="789" customFormat="1"/>
    <row r="312" s="789" customFormat="1"/>
    <row r="313" s="789" customFormat="1"/>
    <row r="314" s="789" customFormat="1"/>
    <row r="315" s="789" customFormat="1"/>
    <row r="316" s="789" customFormat="1"/>
    <row r="317" s="789" customFormat="1"/>
    <row r="318" s="789" customFormat="1"/>
    <row r="319" s="789" customFormat="1"/>
    <row r="320" s="789" customFormat="1"/>
    <row r="321" s="789" customFormat="1"/>
    <row r="322" s="789" customFormat="1"/>
    <row r="323" s="789" customFormat="1"/>
    <row r="324" s="789" customFormat="1"/>
    <row r="325" s="789" customFormat="1"/>
    <row r="326" s="789" customFormat="1"/>
    <row r="327" s="789" customFormat="1"/>
    <row r="328" s="789" customFormat="1"/>
    <row r="329" s="789" customFormat="1"/>
    <row r="330" s="789" customFormat="1"/>
    <row r="331" s="789" customFormat="1"/>
    <row r="332" s="789" customFormat="1"/>
    <row r="333" s="789" customFormat="1"/>
    <row r="334" s="789" customFormat="1"/>
    <row r="335" s="789" customFormat="1"/>
    <row r="336" s="789" customFormat="1"/>
    <row r="337" s="789" customFormat="1"/>
    <row r="338" s="789" customFormat="1"/>
    <row r="339" s="789" customFormat="1"/>
    <row r="340" s="789" customFormat="1"/>
    <row r="341" s="789" customFormat="1"/>
    <row r="342" s="789" customFormat="1"/>
    <row r="343" s="789" customFormat="1"/>
    <row r="344" s="789" customFormat="1"/>
    <row r="345" s="789" customFormat="1"/>
    <row r="346" s="789" customFormat="1"/>
    <row r="347" s="789" customFormat="1"/>
    <row r="348" s="789" customFormat="1"/>
    <row r="349" s="789" customFormat="1"/>
    <row r="350" s="789" customFormat="1"/>
    <row r="351" s="789" customFormat="1"/>
    <row r="352" s="789" customFormat="1"/>
    <row r="353" s="789" customFormat="1"/>
    <row r="354" s="789" customFormat="1"/>
    <row r="355" s="789" customFormat="1"/>
    <row r="356" s="789" customFormat="1"/>
    <row r="357" s="789" customFormat="1"/>
    <row r="358" s="789" customFormat="1"/>
    <row r="359" s="789" customFormat="1"/>
    <row r="360" s="789" customFormat="1"/>
    <row r="361" s="789" customFormat="1"/>
    <row r="362" s="789" customFormat="1"/>
    <row r="363" s="789" customFormat="1"/>
    <row r="364" s="789" customFormat="1"/>
    <row r="365" s="789" customFormat="1"/>
    <row r="366" s="789" customFormat="1"/>
    <row r="367" s="789" customFormat="1"/>
    <row r="368" s="789" customFormat="1"/>
    <row r="369" s="789" customFormat="1"/>
    <row r="370" s="789" customFormat="1"/>
    <row r="371" s="789" customFormat="1"/>
    <row r="372" s="789" customFormat="1"/>
    <row r="373" s="789" customFormat="1"/>
    <row r="374" s="789" customFormat="1"/>
    <row r="375" s="789" customFormat="1"/>
    <row r="376" s="789" customFormat="1"/>
    <row r="377" s="789" customFormat="1"/>
    <row r="378" s="789" customFormat="1"/>
    <row r="379" s="789" customFormat="1"/>
    <row r="380" s="789" customFormat="1"/>
    <row r="381" s="789" customFormat="1"/>
    <row r="382" s="789" customFormat="1"/>
    <row r="383" s="789" customFormat="1"/>
    <row r="384" s="789" customFormat="1"/>
    <row r="385" s="789" customFormat="1"/>
    <row r="386" s="789" customFormat="1"/>
    <row r="387" s="789" customFormat="1"/>
    <row r="388" s="789" customFormat="1"/>
    <row r="389" s="789" customFormat="1"/>
    <row r="390" s="789" customFormat="1"/>
    <row r="391" s="789" customFormat="1"/>
    <row r="392" s="789" customFormat="1"/>
    <row r="393" s="789" customFormat="1"/>
    <row r="394" s="789" customFormat="1"/>
    <row r="395" s="789" customFormat="1"/>
    <row r="396" s="789" customFormat="1"/>
    <row r="397" s="789" customFormat="1"/>
    <row r="398" s="789" customFormat="1"/>
    <row r="399" s="789" customFormat="1"/>
    <row r="400" s="789" customFormat="1"/>
    <row r="401" s="789" customFormat="1"/>
    <row r="402" s="789" customFormat="1"/>
    <row r="403" s="789" customFormat="1"/>
    <row r="404" s="789" customFormat="1"/>
    <row r="405" s="789" customFormat="1"/>
    <row r="406" s="789" customFormat="1"/>
    <row r="407" s="789" customFormat="1"/>
    <row r="408" s="789" customFormat="1"/>
    <row r="409" s="789" customFormat="1"/>
    <row r="410" s="789" customFormat="1"/>
    <row r="411" s="789" customFormat="1"/>
    <row r="412" s="789" customFormat="1"/>
    <row r="413" s="789" customFormat="1"/>
    <row r="414" s="789" customFormat="1"/>
    <row r="415" s="789" customFormat="1"/>
    <row r="416" s="789" customFormat="1"/>
    <row r="417" s="789" customFormat="1"/>
    <row r="418" s="789" customFormat="1"/>
    <row r="419" s="789" customFormat="1"/>
    <row r="420" s="789" customFormat="1"/>
    <row r="421" s="789" customFormat="1"/>
    <row r="422" s="789" customFormat="1"/>
    <row r="423" s="789" customFormat="1"/>
    <row r="424" s="789" customFormat="1"/>
    <row r="425" s="789" customFormat="1"/>
    <row r="426" s="789" customFormat="1"/>
  </sheetData>
  <mergeCells count="53">
    <mergeCell ref="C221:E221"/>
    <mergeCell ref="C237:E237"/>
    <mergeCell ref="C251:E251"/>
    <mergeCell ref="C269:E269"/>
    <mergeCell ref="C289:E289"/>
    <mergeCell ref="C136:E136"/>
    <mergeCell ref="B151:D151"/>
    <mergeCell ref="C162:E162"/>
    <mergeCell ref="C190:E190"/>
    <mergeCell ref="C206:E206"/>
    <mergeCell ref="B103:D103"/>
    <mergeCell ref="C111:E111"/>
    <mergeCell ref="B125:D125"/>
    <mergeCell ref="D48:E48"/>
    <mergeCell ref="B59:D59"/>
    <mergeCell ref="C67:E67"/>
    <mergeCell ref="B81:D81"/>
    <mergeCell ref="C89:E89"/>
    <mergeCell ref="J148:O149"/>
    <mergeCell ref="J159:O165"/>
    <mergeCell ref="J133:N134"/>
    <mergeCell ref="K136:K137"/>
    <mergeCell ref="L136:L137"/>
    <mergeCell ref="N136:N137"/>
    <mergeCell ref="K139:N139"/>
    <mergeCell ref="M114:M115"/>
    <mergeCell ref="N114:N115"/>
    <mergeCell ref="K126:K127"/>
    <mergeCell ref="L126:L127"/>
    <mergeCell ref="M126:M127"/>
    <mergeCell ref="N126:N127"/>
    <mergeCell ref="K109:O109"/>
    <mergeCell ref="J30:O31"/>
    <mergeCell ref="J33:O34"/>
    <mergeCell ref="J36:J37"/>
    <mergeCell ref="J71:O72"/>
    <mergeCell ref="J74:J75"/>
    <mergeCell ref="J111:O112"/>
    <mergeCell ref="J114:J115"/>
    <mergeCell ref="C3:E4"/>
    <mergeCell ref="C5:E5"/>
    <mergeCell ref="C6:E7"/>
    <mergeCell ref="B9:G10"/>
    <mergeCell ref="B12:G14"/>
    <mergeCell ref="B16:G17"/>
    <mergeCell ref="B19:G20"/>
    <mergeCell ref="B22:G24"/>
    <mergeCell ref="B26:G31"/>
    <mergeCell ref="B33:G34"/>
    <mergeCell ref="B38:D38"/>
    <mergeCell ref="C45:E45"/>
    <mergeCell ref="K100:O100"/>
    <mergeCell ref="K102:O10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4770-C9A8-4221-AD09-5A2628920BAA}">
  <dimension ref="B5"/>
  <sheetViews>
    <sheetView topLeftCell="A4" zoomScale="300" zoomScaleNormal="300" workbookViewId="0">
      <selection activeCell="B7" sqref="B7"/>
    </sheetView>
  </sheetViews>
  <sheetFormatPr baseColWidth="10" defaultRowHeight="14.25"/>
  <sheetData>
    <row r="5" spans="2:2">
      <c r="B5" t="s">
        <v>1739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1306A005B97614AB4FD76BB6FAE4637" ma:contentTypeVersion="2" ma:contentTypeDescription="Crear nuevo documento." ma:contentTypeScope="" ma:versionID="3c2789d5c043ea8b7e52199df613c4c8">
  <xsd:schema xmlns:xsd="http://www.w3.org/2001/XMLSchema" xmlns:xs="http://www.w3.org/2001/XMLSchema" xmlns:p="http://schemas.microsoft.com/office/2006/metadata/properties" xmlns:ns2="85053c67-0518-45c0-a4ab-6b4de1159934" targetNamespace="http://schemas.microsoft.com/office/2006/metadata/properties" ma:root="true" ma:fieldsID="c318ef188b82c3ce173bd0a95a1079bc" ns2:_="">
    <xsd:import namespace="85053c67-0518-45c0-a4ab-6b4de115993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53c67-0518-45c0-a4ab-6b4de1159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43B1A-91BE-454B-937C-02167542AD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22A318F-E8C9-4A1A-862B-2155286B9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53c67-0518-45c0-a4ab-6b4de1159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031BC-5BF0-47AE-A578-8E9B81382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76</vt:i4>
      </vt:variant>
      <vt:variant>
        <vt:lpstr>Rangos con nombre</vt:lpstr>
      </vt:variant>
      <vt:variant>
        <vt:i4>25</vt:i4>
      </vt:variant>
    </vt:vector>
  </HeadingPairs>
  <TitlesOfParts>
    <vt:vector size="101" baseType="lpstr">
      <vt:lpstr>Bce 8 Columnas</vt:lpstr>
      <vt:lpstr>Bce Clasificado 31.12.2024</vt:lpstr>
      <vt:lpstr>Materialidad</vt:lpstr>
      <vt:lpstr>Analisis Inicial</vt:lpstr>
      <vt:lpstr>00 Ajustes Iniciales</vt:lpstr>
      <vt:lpstr>LET</vt:lpstr>
      <vt:lpstr>Hoja de Trabajo PPE</vt:lpstr>
      <vt:lpstr>01 PPE</vt:lpstr>
      <vt:lpstr>Hoja1</vt:lpstr>
      <vt:lpstr>Enfoque </vt:lpstr>
      <vt:lpstr>Antecedentes</vt:lpstr>
      <vt:lpstr>02 Efectivo</vt:lpstr>
      <vt:lpstr>03 Leasing</vt:lpstr>
      <vt:lpstr>03.01 Arriendo Operativo</vt:lpstr>
      <vt:lpstr>03.02 Arriendo Operativo</vt:lpstr>
      <vt:lpstr>03.03 Arriendo Operativo</vt:lpstr>
      <vt:lpstr>04 Inversiones</vt:lpstr>
      <vt:lpstr>05 Deterioro</vt:lpstr>
      <vt:lpstr>06 Préstamos</vt:lpstr>
      <vt:lpstr>07 Inventarios</vt:lpstr>
      <vt:lpstr>10 Prov</vt:lpstr>
      <vt:lpstr>09 Inv VP</vt:lpstr>
      <vt:lpstr>13 PPM</vt:lpstr>
      <vt:lpstr>08 Biologicos</vt:lpstr>
      <vt:lpstr>11 Intangibles</vt:lpstr>
      <vt:lpstr>12 Marcas</vt:lpstr>
      <vt:lpstr>14 Diferidos</vt:lpstr>
      <vt:lpstr>Datos</vt:lpstr>
      <vt:lpstr>Est Situacion</vt:lpstr>
      <vt:lpstr>E°R° Natural SVS </vt:lpstr>
      <vt:lpstr>Mov Patrimonial</vt:lpstr>
      <vt:lpstr>Conciliación de Patrimonio</vt:lpstr>
      <vt:lpstr>Div o Retiros</vt:lpstr>
      <vt:lpstr>Nº8a efec y eq</vt:lpstr>
      <vt:lpstr>Nº9 Col cred Social</vt:lpstr>
      <vt:lpstr>Nº10 Deu previsionales</vt:lpstr>
      <vt:lpstr>Nº11a Act x Mut Hip endo</vt:lpstr>
      <vt:lpstr>Nº11b Act x Mut Hip endo</vt:lpstr>
      <vt:lpstr>Nº12 Deu Com y otxcob cte</vt:lpstr>
      <vt:lpstr>N12 Estratificación CxC b)</vt:lpstr>
      <vt:lpstr>Nº12 Deu Com y otxcob cte (b)</vt:lpstr>
      <vt:lpstr>Nº21 Ot Act No Fin</vt:lpstr>
      <vt:lpstr>Nº16a ctas EERR</vt:lpstr>
      <vt:lpstr>Nº16b Trans EERR </vt:lpstr>
      <vt:lpstr>Nº16 Rem pers Clave</vt:lpstr>
      <vt:lpstr>Nº15 Inventario</vt:lpstr>
      <vt:lpstr>Nº19 Imp cte y dif</vt:lpstr>
      <vt:lpstr>Nº14 a) Inversion en Soc</vt:lpstr>
      <vt:lpstr>Nº17 Intangible</vt:lpstr>
      <vt:lpstr>Nº39 Plusvalia</vt:lpstr>
      <vt:lpstr>Nº18 Pr Plt Eq</vt:lpstr>
      <vt:lpstr>Nº20 Col cred Social</vt:lpstr>
      <vt:lpstr>Nº22 Pas x Mut Hip</vt:lpstr>
      <vt:lpstr>Nº23a Ot Pas Fin</vt:lpstr>
      <vt:lpstr>Nº24 Cta x pag Comerciales</vt:lpstr>
      <vt:lpstr>Nº25 Prov Cred Social</vt:lpstr>
      <vt:lpstr>Nº26 Ot Pas NO Fin</vt:lpstr>
      <vt:lpstr>Nº40 Benf a los empl</vt:lpstr>
      <vt:lpstr>Nº28 Ing Ord</vt:lpstr>
      <vt:lpstr>Nº29 Ing Int y Rea</vt:lpstr>
      <vt:lpstr>Nº30 Gto x Int y Rea</vt:lpstr>
      <vt:lpstr>Nº31 Prestaciones adic</vt:lpstr>
      <vt:lpstr>Nº32 Ing Gto por Comisiones</vt:lpstr>
      <vt:lpstr>Nº33 Prov por riesgo cred</vt:lpstr>
      <vt:lpstr>Nº34 Ot Ing y gtos operacionale</vt:lpstr>
      <vt:lpstr>Nº35 Rem y Gto personal</vt:lpstr>
      <vt:lpstr>Nº36 Gto Adm</vt:lpstr>
      <vt:lpstr>Nº36 a) Gto benef a empleados </vt:lpstr>
      <vt:lpstr>Nº36 b) Deterioro</vt:lpstr>
      <vt:lpstr>Nº36 c) Otros gtos por nat</vt:lpstr>
      <vt:lpstr>Nº42 Otr Gan (Per)</vt:lpstr>
      <vt:lpstr>Nº 41 Costo finan</vt:lpstr>
      <vt:lpstr>Nº 43 Liquidez</vt:lpstr>
      <vt:lpstr>Nº45 nºempleados</vt:lpstr>
      <vt:lpstr>Nº46 Contingencias</vt:lpstr>
      <vt:lpstr>Nº37 Aun-Dis coloc credi socia</vt:lpstr>
      <vt:lpstr>'Nº16b Trans EERR '!AgrupacionSVS</vt:lpstr>
      <vt:lpstr>Datos!Área_de_impresión</vt:lpstr>
      <vt:lpstr>'E°R° Natural SVS '!Área_de_impresión</vt:lpstr>
      <vt:lpstr>'Est Situacion'!Área_de_impresión</vt:lpstr>
      <vt:lpstr>Costos_Financieros</vt:lpstr>
      <vt:lpstr>Diferencia_de_Cambio</vt:lpstr>
      <vt:lpstr>FechaRº</vt:lpstr>
      <vt:lpstr>Gastos_Beneficios_Empleados</vt:lpstr>
      <vt:lpstr>Gastos_Depreciacion_amortizacion</vt:lpstr>
      <vt:lpstr>Ingresos_Financieros</vt:lpstr>
      <vt:lpstr>Materias_Primas_Consumibles</vt:lpstr>
      <vt:lpstr>Materias_Primas_y_Consumibles</vt:lpstr>
      <vt:lpstr>Otras_ganancias_perdidas</vt:lpstr>
      <vt:lpstr>Otros_gastos_por_Naturaleza</vt:lpstr>
      <vt:lpstr>Otros_Ingresos_por_Naturaleza</vt:lpstr>
      <vt:lpstr>Otros_Ingresos_por_Servicios</vt:lpstr>
      <vt:lpstr>Remuneraciones_del_personal</vt:lpstr>
      <vt:lpstr>Reversion_Perdidas_por_Deterioro</vt:lpstr>
      <vt:lpstr>Reversión_perdidas_por_Deterioro</vt:lpstr>
      <vt:lpstr>Reversión_Pérdidas_por_Deterioro</vt:lpstr>
      <vt:lpstr>'Est Situacion'!Títulos_a_imprimir</vt:lpstr>
      <vt:lpstr>'Nº16a ctas EERR'!Títulos_a_imprimir</vt:lpstr>
      <vt:lpstr>'Nº19 Imp cte y dif'!Títulos_a_imprimir</vt:lpstr>
      <vt:lpstr>'Nº22 Pas x Mut Hip'!Títulos_a_imprimir</vt:lpstr>
      <vt:lpstr>'Nº8a efec y 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2025-07-08T01:28:00Z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0x01010091306A005B97614AB4FD76BB6FAE4637</vt:lpwstr>
  </property>
</Properties>
</file>