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8b03ea577e69e87/Desktop/"/>
    </mc:Choice>
  </mc:AlternateContent>
  <xr:revisionPtr revIDLastSave="0" documentId="8_{82F23B54-10E0-4911-8075-C6A35C80FD65}" xr6:coauthVersionLast="47" xr6:coauthVersionMax="47" xr10:uidLastSave="{00000000-0000-0000-0000-000000000000}"/>
  <bookViews>
    <workbookView xWindow="-98" yWindow="-98" windowWidth="21795" windowHeight="12975" xr2:uid="{3180728E-E5AE-4AE8-AC49-D7A8D0BF49B4}"/>
  </bookViews>
  <sheets>
    <sheet name="Ej 1" sheetId="7" r:id="rId1"/>
    <sheet name="Hoja1" sheetId="11" r:id="rId2"/>
    <sheet name="Ej 2" sheetId="4" r:id="rId3"/>
    <sheet name="Ej 3" sheetId="6" r:id="rId4"/>
    <sheet name="Tarea 1" sheetId="8" r:id="rId5"/>
    <sheet name="Tarea 2" sheetId="9" r:id="rId6"/>
    <sheet name="Tarea 3" sheetId="1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6" l="1"/>
  <c r="E48" i="6"/>
  <c r="G40" i="10"/>
  <c r="F40" i="10"/>
  <c r="G39" i="10"/>
  <c r="F39" i="10"/>
  <c r="G38" i="10"/>
  <c r="F38" i="10"/>
  <c r="E40" i="10"/>
  <c r="E39" i="10"/>
  <c r="E38" i="10"/>
  <c r="J21" i="10"/>
  <c r="I23" i="10"/>
  <c r="I22" i="10"/>
  <c r="I21" i="10"/>
  <c r="I20" i="10"/>
  <c r="I19" i="10"/>
  <c r="D40" i="10"/>
  <c r="D39" i="10"/>
  <c r="D38" i="10"/>
  <c r="C40" i="10"/>
  <c r="C39" i="10"/>
  <c r="C38" i="10"/>
  <c r="F22" i="10"/>
  <c r="F21" i="10"/>
  <c r="F20" i="10"/>
  <c r="F32" i="10"/>
  <c r="G33" i="10"/>
  <c r="F31" i="10"/>
  <c r="E23" i="8"/>
  <c r="G36" i="9"/>
  <c r="F35" i="9"/>
  <c r="F31" i="9"/>
  <c r="F29" i="9"/>
  <c r="E29" i="9"/>
  <c r="D29" i="9"/>
  <c r="B29" i="9"/>
  <c r="G21" i="9"/>
  <c r="G20" i="9"/>
  <c r="G19" i="9"/>
  <c r="F20" i="9"/>
  <c r="E21" i="9"/>
  <c r="E20" i="9"/>
  <c r="E19" i="9"/>
  <c r="D20" i="9"/>
  <c r="D19" i="9"/>
  <c r="F28" i="9"/>
  <c r="F27" i="9"/>
  <c r="E27" i="9"/>
  <c r="C12" i="9"/>
  <c r="C7" i="9"/>
  <c r="C8" i="9" s="1"/>
  <c r="D168" i="8"/>
  <c r="F172" i="8"/>
  <c r="E168" i="8"/>
  <c r="F168" i="8" s="1"/>
  <c r="F170" i="8" s="1"/>
  <c r="F174" i="8" s="1"/>
  <c r="F178" i="8" s="1"/>
  <c r="G179" i="8" s="1"/>
  <c r="B168" i="8"/>
  <c r="D148" i="8"/>
  <c r="E148" i="8" s="1"/>
  <c r="F148" i="8" s="1"/>
  <c r="F150" i="8" s="1"/>
  <c r="F154" i="8" s="1"/>
  <c r="F158" i="8" s="1"/>
  <c r="G159" i="8" s="1"/>
  <c r="F152" i="8"/>
  <c r="B148" i="8"/>
  <c r="D128" i="8"/>
  <c r="E128" i="8" s="1"/>
  <c r="F128" i="8" s="1"/>
  <c r="F130" i="8" s="1"/>
  <c r="F134" i="8" s="1"/>
  <c r="F138" i="8" s="1"/>
  <c r="G139" i="8" s="1"/>
  <c r="F132" i="8"/>
  <c r="B128" i="8"/>
  <c r="F114" i="8"/>
  <c r="F112" i="8"/>
  <c r="F108" i="8"/>
  <c r="D108" i="8"/>
  <c r="E108" i="8" s="1"/>
  <c r="B108" i="8"/>
  <c r="B88" i="8"/>
  <c r="B73" i="8"/>
  <c r="J16" i="8"/>
  <c r="J17" i="8"/>
  <c r="J18" i="8"/>
  <c r="H11" i="8"/>
  <c r="H12" i="8" s="1"/>
  <c r="H9" i="8"/>
  <c r="H10" i="8" s="1"/>
  <c r="I10" i="8" s="1"/>
  <c r="J10" i="8" s="1"/>
  <c r="H7" i="8"/>
  <c r="I7" i="8" s="1"/>
  <c r="J7" i="8" s="1"/>
  <c r="C41" i="6"/>
  <c r="F44" i="6" s="1"/>
  <c r="B41" i="6"/>
  <c r="C40" i="6"/>
  <c r="B40" i="6"/>
  <c r="B39" i="6"/>
  <c r="F24" i="6"/>
  <c r="F23" i="6"/>
  <c r="F22" i="6"/>
  <c r="F21" i="6"/>
  <c r="F20" i="6"/>
  <c r="C45" i="6"/>
  <c r="C46" i="6" s="1"/>
  <c r="B33" i="4"/>
  <c r="D19" i="4"/>
  <c r="E19" i="4" s="1"/>
  <c r="D18" i="4"/>
  <c r="E18" i="4" s="1"/>
  <c r="C23" i="4" s="1"/>
  <c r="F32" i="4"/>
  <c r="B31" i="4"/>
  <c r="C6" i="4"/>
  <c r="C7" i="4" s="1"/>
  <c r="C11" i="4" s="1"/>
  <c r="E31" i="4" s="1"/>
  <c r="F31" i="4" s="1"/>
  <c r="G262" i="7"/>
  <c r="G263" i="7" s="1"/>
  <c r="G261" i="7"/>
  <c r="D261" i="7"/>
  <c r="B245" i="7"/>
  <c r="D222" i="7"/>
  <c r="H222" i="7" s="1"/>
  <c r="D260" i="7" s="1"/>
  <c r="H260" i="7" s="1"/>
  <c r="D221" i="7"/>
  <c r="H221" i="7" s="1"/>
  <c r="D259" i="7" s="1"/>
  <c r="H259" i="7" s="1"/>
  <c r="B207" i="7"/>
  <c r="D182" i="7"/>
  <c r="B168" i="7"/>
  <c r="D143" i="7"/>
  <c r="H143" i="7" s="1"/>
  <c r="D181" i="7" s="1"/>
  <c r="H181" i="7" s="1"/>
  <c r="D220" i="7" s="1"/>
  <c r="H220" i="7" s="1"/>
  <c r="D258" i="7" s="1"/>
  <c r="H258" i="7" s="1"/>
  <c r="A143" i="7"/>
  <c r="E143" i="7" s="1"/>
  <c r="A181" i="7" s="1"/>
  <c r="E181" i="7" s="1"/>
  <c r="A220" i="7" s="1"/>
  <c r="E220" i="7" s="1"/>
  <c r="A258" i="7" s="1"/>
  <c r="E258" i="7" s="1"/>
  <c r="B130" i="7"/>
  <c r="B92" i="7"/>
  <c r="J41" i="7"/>
  <c r="J75" i="7"/>
  <c r="F68" i="7"/>
  <c r="B104" i="7" s="1"/>
  <c r="F104" i="7" s="1"/>
  <c r="B142" i="7" s="1"/>
  <c r="F142" i="7" s="1"/>
  <c r="B180" i="7" s="1"/>
  <c r="F180" i="7" s="1"/>
  <c r="B219" i="7" s="1"/>
  <c r="F219" i="7" s="1"/>
  <c r="B257" i="7" s="1"/>
  <c r="F257" i="7" s="1"/>
  <c r="B56" i="7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D31" i="7"/>
  <c r="C17" i="10"/>
  <c r="F16" i="10"/>
  <c r="F10" i="10"/>
  <c r="C10" i="10"/>
  <c r="C21" i="9"/>
  <c r="F16" i="6"/>
  <c r="C17" i="6"/>
  <c r="F31" i="6" s="1"/>
  <c r="F32" i="6" s="1"/>
  <c r="F10" i="6"/>
  <c r="D44" i="6" s="1"/>
  <c r="D45" i="6" s="1"/>
  <c r="D46" i="6" s="1"/>
  <c r="C10" i="6"/>
  <c r="C20" i="4"/>
  <c r="F110" i="8" l="1"/>
  <c r="F118" i="8" s="1"/>
  <c r="G119" i="8" s="1"/>
  <c r="I11" i="8"/>
  <c r="J11" i="8" s="1"/>
  <c r="I9" i="8"/>
  <c r="J9" i="8" s="1"/>
  <c r="I12" i="8"/>
  <c r="J12" i="8" s="1"/>
  <c r="H15" i="8"/>
  <c r="I15" i="8" s="1"/>
  <c r="J15" i="8" s="1"/>
  <c r="H13" i="8"/>
  <c r="H8" i="8"/>
  <c r="I8" i="8" s="1"/>
  <c r="J8" i="8" s="1"/>
  <c r="G44" i="6"/>
  <c r="G22" i="6"/>
  <c r="E44" i="6" s="1"/>
  <c r="E45" i="6" s="1"/>
  <c r="E20" i="4"/>
  <c r="E21" i="4" s="1"/>
  <c r="C24" i="4" s="1"/>
  <c r="C25" i="4" s="1"/>
  <c r="D33" i="4" s="1"/>
  <c r="E33" i="4" s="1"/>
  <c r="F33" i="4" s="1"/>
  <c r="F35" i="4" s="1"/>
  <c r="F39" i="4" s="1"/>
  <c r="G40" i="4" s="1"/>
  <c r="F31" i="7"/>
  <c r="E44" i="7" s="1"/>
  <c r="E76" i="7" s="1"/>
  <c r="I13" i="8" l="1"/>
  <c r="J13" i="8" s="1"/>
  <c r="H14" i="8"/>
  <c r="I14" i="8" s="1"/>
  <c r="J14" i="8" s="1"/>
  <c r="E46" i="6"/>
  <c r="F46" i="6" s="1"/>
  <c r="F45" i="6"/>
  <c r="E77" i="7"/>
  <c r="F76" i="7"/>
  <c r="G76" i="7" s="1"/>
  <c r="E80" i="7" s="1"/>
  <c r="E113" i="7" s="1"/>
  <c r="E45" i="7"/>
  <c r="J19" i="8" l="1"/>
  <c r="E22" i="8" s="1"/>
  <c r="E24" i="8" s="1"/>
  <c r="D73" i="8" s="1"/>
  <c r="E73" i="8" s="1"/>
  <c r="F73" i="8" s="1"/>
  <c r="F75" i="8" s="1"/>
  <c r="G45" i="6"/>
  <c r="H45" i="6"/>
  <c r="I46" i="6"/>
  <c r="G46" i="6"/>
  <c r="F113" i="7"/>
  <c r="G113" i="7" s="1"/>
  <c r="E118" i="7" s="1"/>
  <c r="E152" i="7" s="1"/>
  <c r="E46" i="7"/>
  <c r="D56" i="7" s="1"/>
  <c r="E56" i="7" s="1"/>
  <c r="F56" i="7" s="1"/>
  <c r="F58" i="7" s="1"/>
  <c r="F62" i="7" s="1"/>
  <c r="F69" i="7" s="1"/>
  <c r="M40" i="7"/>
  <c r="N41" i="7" s="1"/>
  <c r="E78" i="7"/>
  <c r="F77" i="7"/>
  <c r="G77" i="7" s="1"/>
  <c r="F79" i="8" l="1"/>
  <c r="G80" i="8" s="1"/>
  <c r="F92" i="8"/>
  <c r="E27" i="8"/>
  <c r="E28" i="8" s="1"/>
  <c r="F152" i="7"/>
  <c r="G152" i="7" s="1"/>
  <c r="E157" i="7" s="1"/>
  <c r="E190" i="7" s="1"/>
  <c r="F72" i="7"/>
  <c r="G73" i="7" s="1"/>
  <c r="B105" i="7"/>
  <c r="G78" i="7"/>
  <c r="G79" i="7" s="1"/>
  <c r="G63" i="7"/>
  <c r="F27" i="8" l="1"/>
  <c r="G27" i="8" s="1"/>
  <c r="I27" i="8" s="1"/>
  <c r="E29" i="8"/>
  <c r="F28" i="8"/>
  <c r="G28" i="8" s="1"/>
  <c r="F190" i="7"/>
  <c r="G190" i="7" s="1"/>
  <c r="E195" i="7" s="1"/>
  <c r="E229" i="7" s="1"/>
  <c r="B108" i="7"/>
  <c r="C109" i="7" s="1"/>
  <c r="F105" i="7"/>
  <c r="M74" i="7"/>
  <c r="N75" i="7"/>
  <c r="E81" i="7"/>
  <c r="G29" i="8" l="1"/>
  <c r="H29" i="8" s="1"/>
  <c r="I28" i="8" s="1"/>
  <c r="E32" i="8"/>
  <c r="F229" i="7"/>
  <c r="G229" i="7" s="1"/>
  <c r="E233" i="7" s="1"/>
  <c r="F108" i="7"/>
  <c r="B143" i="7"/>
  <c r="E82" i="7"/>
  <c r="D92" i="7" s="1"/>
  <c r="E92" i="7" s="1"/>
  <c r="F92" i="7" s="1"/>
  <c r="F94" i="7" s="1"/>
  <c r="F98" i="7" s="1"/>
  <c r="G99" i="7" s="1"/>
  <c r="G105" i="7" s="1"/>
  <c r="E114" i="7"/>
  <c r="E33" i="8" l="1"/>
  <c r="E34" i="8" s="1"/>
  <c r="I29" i="8"/>
  <c r="D88" i="8" s="1"/>
  <c r="E88" i="8" s="1"/>
  <c r="F88" i="8" s="1"/>
  <c r="F90" i="8" s="1"/>
  <c r="F32" i="8"/>
  <c r="G32" i="8" s="1"/>
  <c r="F143" i="7"/>
  <c r="B146" i="7"/>
  <c r="G108" i="7"/>
  <c r="G109" i="7" s="1"/>
  <c r="C143" i="7"/>
  <c r="F114" i="7"/>
  <c r="G114" i="7" s="1"/>
  <c r="E115" i="7"/>
  <c r="F94" i="8" l="1"/>
  <c r="F98" i="8" s="1"/>
  <c r="G99" i="8" s="1"/>
  <c r="I32" i="8"/>
  <c r="E37" i="8" s="1"/>
  <c r="F33" i="8"/>
  <c r="G33" i="8" s="1"/>
  <c r="G34" i="8" s="1"/>
  <c r="F146" i="7"/>
  <c r="B181" i="7"/>
  <c r="C146" i="7"/>
  <c r="G143" i="7"/>
  <c r="C181" i="7" s="1"/>
  <c r="C147" i="7"/>
  <c r="G115" i="7"/>
  <c r="G116" i="7" s="1"/>
  <c r="E119" i="7" s="1"/>
  <c r="F37" i="8" l="1"/>
  <c r="G37" i="8" s="1"/>
  <c r="H34" i="8"/>
  <c r="I33" i="8" s="1"/>
  <c r="G181" i="7"/>
  <c r="C220" i="7" s="1"/>
  <c r="F181" i="7"/>
  <c r="B185" i="7"/>
  <c r="E120" i="7"/>
  <c r="D130" i="7" s="1"/>
  <c r="E130" i="7" s="1"/>
  <c r="F130" i="7" s="1"/>
  <c r="F132" i="7" s="1"/>
  <c r="F136" i="7" s="1"/>
  <c r="G137" i="7" s="1"/>
  <c r="G144" i="7" s="1"/>
  <c r="E153" i="7"/>
  <c r="I34" i="8" l="1"/>
  <c r="E38" i="8"/>
  <c r="I37" i="8"/>
  <c r="F185" i="7"/>
  <c r="B220" i="7"/>
  <c r="G220" i="7"/>
  <c r="C258" i="7" s="1"/>
  <c r="G146" i="7"/>
  <c r="G147" i="7" s="1"/>
  <c r="C182" i="7"/>
  <c r="F153" i="7"/>
  <c r="G153" i="7" s="1"/>
  <c r="E154" i="7"/>
  <c r="E42" i="8" l="1"/>
  <c r="F38" i="8"/>
  <c r="G38" i="8" s="1"/>
  <c r="G39" i="8" s="1"/>
  <c r="E39" i="8"/>
  <c r="G258" i="7"/>
  <c r="F220" i="7"/>
  <c r="B224" i="7"/>
  <c r="G182" i="7"/>
  <c r="C221" i="7" s="1"/>
  <c r="C185" i="7"/>
  <c r="C186" i="7" s="1"/>
  <c r="G154" i="7"/>
  <c r="G155" i="7" s="1"/>
  <c r="E158" i="7" s="1"/>
  <c r="H39" i="8" l="1"/>
  <c r="I38" i="8" s="1"/>
  <c r="F42" i="8"/>
  <c r="G42" i="8" s="1"/>
  <c r="F224" i="7"/>
  <c r="B258" i="7"/>
  <c r="G221" i="7"/>
  <c r="C259" i="7" s="1"/>
  <c r="E159" i="7"/>
  <c r="D168" i="7" s="1"/>
  <c r="E168" i="7" s="1"/>
  <c r="F168" i="7" s="1"/>
  <c r="F170" i="7" s="1"/>
  <c r="F174" i="7" s="1"/>
  <c r="G175" i="7" s="1"/>
  <c r="G183" i="7" s="1"/>
  <c r="E191" i="7"/>
  <c r="I42" i="8" l="1"/>
  <c r="E47" i="8" s="1"/>
  <c r="E43" i="8"/>
  <c r="I39" i="8"/>
  <c r="G259" i="7"/>
  <c r="F258" i="7"/>
  <c r="F263" i="7" s="1"/>
  <c r="B262" i="7"/>
  <c r="G185" i="7"/>
  <c r="G186" i="7" s="1"/>
  <c r="C222" i="7"/>
  <c r="F191" i="7"/>
  <c r="G191" i="7" s="1"/>
  <c r="E192" i="7"/>
  <c r="F47" i="8" l="1"/>
  <c r="G47" i="8" s="1"/>
  <c r="F43" i="8"/>
  <c r="G43" i="8" s="1"/>
  <c r="G44" i="8" s="1"/>
  <c r="E44" i="8"/>
  <c r="G222" i="7"/>
  <c r="C260" i="7" s="1"/>
  <c r="C224" i="7"/>
  <c r="C225" i="7" s="1"/>
  <c r="G192" i="7"/>
  <c r="G193" i="7" s="1"/>
  <c r="E196" i="7" s="1"/>
  <c r="I47" i="8" l="1"/>
  <c r="H44" i="8"/>
  <c r="I43" i="8" s="1"/>
  <c r="G260" i="7"/>
  <c r="E197" i="7"/>
  <c r="D207" i="7" s="1"/>
  <c r="E207" i="7" s="1"/>
  <c r="F207" i="7" s="1"/>
  <c r="F209" i="7" s="1"/>
  <c r="F213" i="7" s="1"/>
  <c r="G214" i="7" s="1"/>
  <c r="G223" i="7" s="1"/>
  <c r="E230" i="7"/>
  <c r="I44" i="8" l="1"/>
  <c r="E48" i="8"/>
  <c r="G224" i="7"/>
  <c r="G225" i="7" s="1"/>
  <c r="C261" i="7"/>
  <c r="C262" i="7" s="1"/>
  <c r="C263" i="7" s="1"/>
  <c r="F230" i="7"/>
  <c r="G230" i="7" s="1"/>
  <c r="E231" i="7"/>
  <c r="F245" i="7" s="1"/>
  <c r="F247" i="7" s="1"/>
  <c r="F251" i="7" s="1"/>
  <c r="G252" i="7" s="1"/>
  <c r="G264" i="7" s="1"/>
  <c r="F48" i="8" l="1"/>
  <c r="G48" i="8" s="1"/>
  <c r="G49" i="8" s="1"/>
  <c r="E49" i="8"/>
  <c r="G231" i="7"/>
  <c r="E234" i="7" s="1"/>
  <c r="E235" i="7" s="1"/>
  <c r="H49" i="8" l="1"/>
  <c r="I48" i="8" s="1"/>
  <c r="I49" i="8" s="1"/>
</calcChain>
</file>

<file path=xl/sharedStrings.xml><?xml version="1.0" encoding="utf-8"?>
<sst xmlns="http://schemas.openxmlformats.org/spreadsheetml/2006/main" count="784" uniqueCount="159">
  <si>
    <t>Detalle</t>
  </si>
  <si>
    <t>NIIF</t>
  </si>
  <si>
    <t>-</t>
  </si>
  <si>
    <t>Fecha</t>
  </si>
  <si>
    <t>Debe</t>
  </si>
  <si>
    <t>Haber</t>
  </si>
  <si>
    <t>Pasivo</t>
  </si>
  <si>
    <t>Monto</t>
  </si>
  <si>
    <t>Gastos de Organización y Puesta en Marcha</t>
  </si>
  <si>
    <t>Amortización Gastos de Organización</t>
  </si>
  <si>
    <t>Totales</t>
  </si>
  <si>
    <t>SII</t>
  </si>
  <si>
    <t>Diferencia</t>
  </si>
  <si>
    <t>Activo</t>
  </si>
  <si>
    <r>
      <t>a)</t>
    </r>
    <r>
      <rPr>
        <b/>
        <sz val="7"/>
        <color theme="1"/>
        <rFont val="Georgia"/>
        <family val="1"/>
      </rPr>
      <t xml:space="preserve">    </t>
    </r>
    <r>
      <rPr>
        <b/>
        <sz val="11"/>
        <color theme="1"/>
        <rFont val="Georgia"/>
        <family val="1"/>
      </rPr>
      <t>Con la siguiente información calcule los impuestos diferidos:</t>
    </r>
  </si>
  <si>
    <t>Ley</t>
  </si>
  <si>
    <t>Activo no monetario</t>
  </si>
  <si>
    <t>Valor Tributario</t>
  </si>
  <si>
    <t>Valor Corriente en Plaza</t>
  </si>
  <si>
    <t>Goodwill asignable</t>
  </si>
  <si>
    <t>Valor Final</t>
  </si>
  <si>
    <t>Gasto Diferido</t>
  </si>
  <si>
    <t>Activo Intangible</t>
  </si>
  <si>
    <t>Sin ley</t>
  </si>
  <si>
    <t>Ley 20.630</t>
  </si>
  <si>
    <t>Ley 20.780</t>
  </si>
  <si>
    <t>31.12.2023</t>
  </si>
  <si>
    <t>Ejercicio Gastos de Organización y Puesta en Marcha</t>
  </si>
  <si>
    <t>La entidad tiene el siguiente detalle, identifique si es gasto, activo o ingresos según NIIF y normativa Tributaria:</t>
  </si>
  <si>
    <t>Mes</t>
  </si>
  <si>
    <t>Descripción</t>
  </si>
  <si>
    <t>Tributaria</t>
  </si>
  <si>
    <t>10.10.2022</t>
  </si>
  <si>
    <t>Legalización</t>
  </si>
  <si>
    <t>Honorarios Legales</t>
  </si>
  <si>
    <t>Contable</t>
  </si>
  <si>
    <t>Honorarios (Constitución y permisos)</t>
  </si>
  <si>
    <t>15.10.2022</t>
  </si>
  <si>
    <t>Infraestructura</t>
  </si>
  <si>
    <t>Arriendo</t>
  </si>
  <si>
    <t>25.10.2022</t>
  </si>
  <si>
    <t>Investigación</t>
  </si>
  <si>
    <t>Estudio de mercado</t>
  </si>
  <si>
    <t>26.11.2022</t>
  </si>
  <si>
    <t>Diseño</t>
  </si>
  <si>
    <t>Logos y Materiales</t>
  </si>
  <si>
    <t>Contabilidad</t>
  </si>
  <si>
    <t>Personal</t>
  </si>
  <si>
    <t>Capacitación</t>
  </si>
  <si>
    <t>Venta</t>
  </si>
  <si>
    <t xml:space="preserve">Ingresos </t>
  </si>
  <si>
    <t>Gastos Básicos</t>
  </si>
  <si>
    <t>Luz, agua, celular</t>
  </si>
  <si>
    <t>Legales</t>
  </si>
  <si>
    <t>Asesoría Legal</t>
  </si>
  <si>
    <t>Mes 0 añ0</t>
  </si>
  <si>
    <t>Corrección Monetaria</t>
  </si>
  <si>
    <t>Año</t>
  </si>
  <si>
    <t>Impuesto Renta</t>
  </si>
  <si>
    <t>01.11.2022</t>
  </si>
  <si>
    <t>10.11.2022</t>
  </si>
  <si>
    <t>15.11.2022</t>
  </si>
  <si>
    <t>18.11.2022</t>
  </si>
  <si>
    <t>20.11.2022</t>
  </si>
  <si>
    <t>01.12.2022</t>
  </si>
  <si>
    <t>10.12.2022</t>
  </si>
  <si>
    <t>15.12.2022</t>
  </si>
  <si>
    <t>30.12.2022</t>
  </si>
  <si>
    <r>
      <t xml:space="preserve">a.3) </t>
    </r>
    <r>
      <rPr>
        <sz val="11"/>
        <color theme="1"/>
        <rFont val="Georgia"/>
        <family val="1"/>
      </rPr>
      <t>La sociedad genero gastos de Organización y Puesta en Marcha el 2022, el cual se amortiza en 6 años.</t>
    </r>
  </si>
  <si>
    <t>Tasa de impuesto a la renta 27% VIPC anual 18%</t>
  </si>
  <si>
    <t>Se pide actualización Tributaria y los impuestos diferidos de cada año</t>
  </si>
  <si>
    <t>Activos no Monetarios (financieros)</t>
  </si>
  <si>
    <t>Activos no Monetarios (Tributarios)</t>
  </si>
  <si>
    <t>Edificio</t>
  </si>
  <si>
    <t>Dep. Acum. Edificio</t>
  </si>
  <si>
    <t>Patrimonio Financiero</t>
  </si>
  <si>
    <t>Capital Propio Tributario</t>
  </si>
  <si>
    <t>Capital</t>
  </si>
  <si>
    <t>Otras Reservas</t>
  </si>
  <si>
    <t>Resultados Acumulados</t>
  </si>
  <si>
    <t>Utilidad del Ejercicio</t>
  </si>
  <si>
    <t>(-) Valores Into</t>
  </si>
  <si>
    <t>(-)Pasivo Exigible</t>
  </si>
  <si>
    <t>(=) CPT</t>
  </si>
  <si>
    <t>(+)Total de Activos</t>
  </si>
  <si>
    <t>Patrimonio</t>
  </si>
  <si>
    <t>Neto</t>
  </si>
  <si>
    <t>a) Valor de adquisición $950.000.000</t>
  </si>
  <si>
    <t>Se pide el reconocimiento de la Plusvalia Financiera y la asignación del goodwill tributario</t>
  </si>
  <si>
    <t>Ejercicio de Plusvalía &amp; Goodwill:</t>
  </si>
  <si>
    <t>La entidad tiene la siguiente información en la combinación de negocios:</t>
  </si>
  <si>
    <t>10.09.2022</t>
  </si>
  <si>
    <r>
      <t xml:space="preserve">a.2) </t>
    </r>
    <r>
      <rPr>
        <sz val="7"/>
        <color rgb="FF000000"/>
        <rFont val="Georgia"/>
        <family val="1"/>
      </rPr>
      <t xml:space="preserve"> </t>
    </r>
    <r>
      <rPr>
        <sz val="11"/>
        <color theme="1"/>
        <rFont val="Georgia"/>
        <family val="1"/>
      </rPr>
      <t>La sociedad en el mes de diciembre de 2023 género ventas por $10.000.000 que entregarán en el año 2024.</t>
    </r>
  </si>
  <si>
    <t>a) Valor de adquisición $500.000.000</t>
  </si>
  <si>
    <t>Gasto</t>
  </si>
  <si>
    <t>Ingresos</t>
  </si>
  <si>
    <t>Total</t>
  </si>
  <si>
    <t>Cm</t>
  </si>
  <si>
    <t>Valor Actualizado</t>
  </si>
  <si>
    <t>31.12.2022</t>
  </si>
  <si>
    <t>Resultado</t>
  </si>
  <si>
    <t>Activo por Impuestos Diferidos</t>
  </si>
  <si>
    <t>Impuesto a la Renta</t>
  </si>
  <si>
    <t>Glosa: impuestos diferidos al 31.12.2022</t>
  </si>
  <si>
    <t>SD</t>
  </si>
  <si>
    <t>CM</t>
  </si>
  <si>
    <t>Actualizado</t>
  </si>
  <si>
    <t>Gastos de organización</t>
  </si>
  <si>
    <t>31.12.2024</t>
  </si>
  <si>
    <t>31.12.2025</t>
  </si>
  <si>
    <t>31.12.2026</t>
  </si>
  <si>
    <t>a)    Con la siguiente información calcule los impuestos diferidos:</t>
  </si>
  <si>
    <r>
      <rPr>
        <b/>
        <sz val="12"/>
        <color rgb="FF000000"/>
        <rFont val="Georgia"/>
        <family val="1"/>
      </rPr>
      <t xml:space="preserve">a.1) </t>
    </r>
    <r>
      <rPr>
        <sz val="12"/>
        <color rgb="FF000000"/>
        <rFont val="Georgia"/>
        <family val="1"/>
      </rPr>
      <t xml:space="preserve"> </t>
    </r>
    <r>
      <rPr>
        <sz val="12"/>
        <color theme="1"/>
        <rFont val="Georgia"/>
        <family val="1"/>
      </rPr>
      <t>La entidad tiene una pérdida tributaria del año anterior por $95.000.000 y este año según RLI, una ganancia de  $18.700.000. (sin considerar la pérdida tributaria).</t>
    </r>
  </si>
  <si>
    <r>
      <t xml:space="preserve">a.2)  </t>
    </r>
    <r>
      <rPr>
        <sz val="12"/>
        <color theme="1"/>
        <rFont val="Georgia"/>
        <family val="1"/>
      </rPr>
      <t>La sociedad en el mes de diciembre de 2023 género ventas por $65.000.000 que entregarán en el año 2024.</t>
    </r>
  </si>
  <si>
    <r>
      <t xml:space="preserve">a.3) </t>
    </r>
    <r>
      <rPr>
        <sz val="12"/>
        <color theme="1"/>
        <rFont val="Georgia"/>
        <family val="1"/>
      </rPr>
      <t>La sociedad genero gastos de Organización y Puesta en Marcha el 2022, el cual se amortiza en 6 años.</t>
    </r>
  </si>
  <si>
    <t>Pérdida Tributaria</t>
  </si>
  <si>
    <t>Pérdida Actualizada</t>
  </si>
  <si>
    <t>RLI</t>
  </si>
  <si>
    <t>Pérdida Actualizada despues de RLI</t>
  </si>
  <si>
    <t>Ingresos Anticipados</t>
  </si>
  <si>
    <t>Actualizarlo</t>
  </si>
  <si>
    <t>Imversión Empresas Relacionadas</t>
  </si>
  <si>
    <t>Cuenta por Pagar</t>
  </si>
  <si>
    <t>Plusvalía</t>
  </si>
  <si>
    <t>Goodwill Tributario</t>
  </si>
  <si>
    <t>Gastos</t>
  </si>
  <si>
    <t>Factor</t>
  </si>
  <si>
    <t>Año 1</t>
  </si>
  <si>
    <t>Año 2</t>
  </si>
  <si>
    <t>Amortización</t>
  </si>
  <si>
    <t>Año 3</t>
  </si>
  <si>
    <t>Año 4</t>
  </si>
  <si>
    <t>Año 5</t>
  </si>
  <si>
    <t>Año 6</t>
  </si>
  <si>
    <t>Año 2022</t>
  </si>
  <si>
    <t>Año 2023</t>
  </si>
  <si>
    <t>Año 2024</t>
  </si>
  <si>
    <t>Año 2025</t>
  </si>
  <si>
    <t>Año 2026</t>
  </si>
  <si>
    <r>
      <rPr>
        <b/>
        <sz val="7"/>
        <color rgb="FF000000"/>
        <rFont val="Georgia"/>
        <family val="1"/>
      </rPr>
      <t xml:space="preserve">a.1) </t>
    </r>
    <r>
      <rPr>
        <sz val="7"/>
        <color rgb="FF000000"/>
        <rFont val="Georgia"/>
        <family val="1"/>
      </rPr>
      <t xml:space="preserve"> </t>
    </r>
    <r>
      <rPr>
        <sz val="11"/>
        <color theme="1"/>
        <rFont val="Georgia"/>
        <family val="1"/>
      </rPr>
      <t xml:space="preserve">La entidad tiene una pérdida tributaria del año anterior por $105.000.000 y este año según </t>
    </r>
    <r>
      <rPr>
        <sz val="11"/>
        <color rgb="FF0070C0"/>
        <rFont val="Georgia"/>
        <family val="1"/>
      </rPr>
      <t>RLI, una ganancia de  $28.700.000</t>
    </r>
    <r>
      <rPr>
        <sz val="11"/>
        <color theme="1"/>
        <rFont val="Georgia"/>
        <family val="1"/>
      </rPr>
      <t>. (sin considerar la pérdida tributaria).</t>
    </r>
  </si>
  <si>
    <t>Utilidad RLI</t>
  </si>
  <si>
    <t>Inversión Empresas Relacionadas</t>
  </si>
  <si>
    <t>Adquisición</t>
  </si>
  <si>
    <t>CPT</t>
  </si>
  <si>
    <t>Promedio</t>
  </si>
  <si>
    <t>10.10.2024</t>
  </si>
  <si>
    <t>15.10.2024</t>
  </si>
  <si>
    <t>25.10.2024</t>
  </si>
  <si>
    <t>26.11.2024</t>
  </si>
  <si>
    <t>01.11.2024</t>
  </si>
  <si>
    <t>10.11.2024</t>
  </si>
  <si>
    <t>15.11.2024</t>
  </si>
  <si>
    <t>18.11.2024</t>
  </si>
  <si>
    <t>20.11.2024</t>
  </si>
  <si>
    <t>01.12.2024</t>
  </si>
  <si>
    <t>10.12.2024</t>
  </si>
  <si>
    <t>15.12.2024</t>
  </si>
  <si>
    <t>30.12.2024</t>
  </si>
  <si>
    <t>Se piden los impuestos diferidos y el movimiento tributario de todos los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</si>
</sst>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11"/>
      <color rgb="FF000000"/>
      <name val="Georgia"/>
      <family val="1"/>
    </font>
    <font>
      <sz val="10"/>
      <color theme="1"/>
      <name val="Georgia"/>
      <family val="1"/>
    </font>
    <font>
      <b/>
      <sz val="11"/>
      <color rgb="FF000000"/>
      <name val="Georgia"/>
      <family val="1"/>
    </font>
    <font>
      <b/>
      <sz val="7"/>
      <color theme="1"/>
      <name val="Georgia"/>
      <family val="1"/>
    </font>
    <font>
      <sz val="7"/>
      <color rgb="FF000000"/>
      <name val="Georgia"/>
      <family val="1"/>
    </font>
    <font>
      <b/>
      <sz val="10"/>
      <color theme="1"/>
      <name val="Georgia"/>
      <family val="1"/>
    </font>
    <font>
      <b/>
      <sz val="7"/>
      <color rgb="FF000000"/>
      <name val="Georgia"/>
      <family val="1"/>
    </font>
    <font>
      <sz val="11"/>
      <color rgb="FFFF0000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sz val="12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FF0000"/>
      <name val="Georgia"/>
      <family val="1"/>
    </font>
    <font>
      <sz val="11"/>
      <color rgb="FF0070C0"/>
      <name val="Georgia"/>
      <family val="1"/>
    </font>
  </fonts>
  <fills count="10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 indent="6"/>
    </xf>
    <xf numFmtId="0" fontId="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5" xfId="0" applyFont="1" applyBorder="1"/>
    <xf numFmtId="41" fontId="2" fillId="0" borderId="1" xfId="1" applyFont="1" applyBorder="1"/>
    <xf numFmtId="41" fontId="2" fillId="0" borderId="5" xfId="1" applyFont="1" applyBorder="1"/>
    <xf numFmtId="41" fontId="2" fillId="0" borderId="5" xfId="0" applyNumberFormat="1" applyFont="1" applyBorder="1"/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41" fontId="2" fillId="0" borderId="0" xfId="0" applyNumberFormat="1" applyFont="1"/>
    <xf numFmtId="0" fontId="2" fillId="3" borderId="0" xfId="0" applyFont="1" applyFill="1"/>
    <xf numFmtId="41" fontId="2" fillId="3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7" fontId="2" fillId="0" borderId="14" xfId="0" applyNumberFormat="1" applyFont="1" applyBorder="1" applyAlignment="1">
      <alignment horizontal="center" vertical="center" wrapText="1"/>
    </xf>
    <xf numFmtId="10" fontId="2" fillId="0" borderId="15" xfId="0" applyNumberFormat="1" applyFont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0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9" fontId="2" fillId="0" borderId="1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9" fillId="5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/>
    </xf>
    <xf numFmtId="41" fontId="2" fillId="0" borderId="0" xfId="1" applyFont="1"/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1" fontId="4" fillId="0" borderId="7" xfId="1" applyFont="1" applyBorder="1" applyAlignment="1">
      <alignment horizontal="center" vertical="center"/>
    </xf>
    <xf numFmtId="41" fontId="4" fillId="0" borderId="24" xfId="1" applyFont="1" applyBorder="1" applyAlignment="1">
      <alignment horizontal="center" vertical="center"/>
    </xf>
    <xf numFmtId="41" fontId="2" fillId="0" borderId="4" xfId="1" applyFont="1" applyBorder="1" applyAlignment="1">
      <alignment vertical="center" wrapText="1"/>
    </xf>
    <xf numFmtId="41" fontId="2" fillId="0" borderId="4" xfId="1" applyFont="1" applyBorder="1" applyAlignment="1">
      <alignment horizontal="right" vertical="center" wrapText="1"/>
    </xf>
    <xf numFmtId="41" fontId="4" fillId="0" borderId="7" xfId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41" fontId="4" fillId="0" borderId="23" xfId="1" applyFont="1" applyBorder="1" applyAlignment="1">
      <alignment horizontal="left" vertical="center"/>
    </xf>
    <xf numFmtId="41" fontId="4" fillId="0" borderId="24" xfId="1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1" fontId="2" fillId="0" borderId="25" xfId="1" applyFont="1" applyBorder="1"/>
    <xf numFmtId="41" fontId="2" fillId="0" borderId="2" xfId="1" applyFont="1" applyBorder="1"/>
    <xf numFmtId="0" fontId="4" fillId="0" borderId="9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41" fontId="6" fillId="5" borderId="3" xfId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17" fontId="4" fillId="3" borderId="28" xfId="0" applyNumberFormat="1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41" fontId="2" fillId="0" borderId="29" xfId="1" applyFont="1" applyBorder="1"/>
    <xf numFmtId="41" fontId="2" fillId="0" borderId="6" xfId="1" applyFont="1" applyBorder="1"/>
    <xf numFmtId="41" fontId="2" fillId="0" borderId="4" xfId="1" applyFont="1" applyBorder="1"/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3" xfId="0" applyNumberFormat="1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right" vertical="center" wrapText="1"/>
    </xf>
    <xf numFmtId="3" fontId="2" fillId="0" borderId="0" xfId="0" applyNumberFormat="1" applyFont="1"/>
    <xf numFmtId="3" fontId="2" fillId="0" borderId="1" xfId="0" applyNumberFormat="1" applyFont="1" applyBorder="1"/>
    <xf numFmtId="0" fontId="2" fillId="0" borderId="23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24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41" fontId="2" fillId="0" borderId="1" xfId="0" applyNumberFormat="1" applyFont="1" applyBorder="1"/>
    <xf numFmtId="41" fontId="3" fillId="0" borderId="1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0" xfId="0" applyFont="1" applyBorder="1"/>
    <xf numFmtId="41" fontId="11" fillId="0" borderId="0" xfId="1" applyFont="1"/>
    <xf numFmtId="0" fontId="11" fillId="0" borderId="9" xfId="0" applyFont="1" applyBorder="1"/>
    <xf numFmtId="0" fontId="11" fillId="0" borderId="10" xfId="0" applyFont="1" applyBorder="1"/>
    <xf numFmtId="41" fontId="11" fillId="0" borderId="1" xfId="1" applyFont="1" applyBorder="1"/>
    <xf numFmtId="41" fontId="3" fillId="0" borderId="1" xfId="1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3" fontId="2" fillId="0" borderId="21" xfId="0" applyNumberFormat="1" applyFont="1" applyBorder="1"/>
    <xf numFmtId="0" fontId="2" fillId="0" borderId="30" xfId="0" applyFont="1" applyBorder="1"/>
    <xf numFmtId="0" fontId="2" fillId="0" borderId="20" xfId="0" applyFont="1" applyBorder="1"/>
    <xf numFmtId="0" fontId="2" fillId="0" borderId="22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10" fontId="2" fillId="4" borderId="15" xfId="0" applyNumberFormat="1" applyFont="1" applyFill="1" applyBorder="1" applyAlignment="1">
      <alignment horizontal="center" vertical="center" wrapText="1"/>
    </xf>
    <xf numFmtId="41" fontId="2" fillId="0" borderId="25" xfId="0" applyNumberFormat="1" applyFont="1" applyBorder="1"/>
    <xf numFmtId="41" fontId="2" fillId="0" borderId="2" xfId="0" applyNumberFormat="1" applyFont="1" applyBorder="1"/>
    <xf numFmtId="0" fontId="2" fillId="4" borderId="5" xfId="0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right" vertical="center" wrapText="1"/>
    </xf>
    <xf numFmtId="3" fontId="2" fillId="4" borderId="6" xfId="0" applyNumberFormat="1" applyFont="1" applyFill="1" applyBorder="1" applyAlignment="1">
      <alignment horizontal="right" vertical="center" wrapText="1"/>
    </xf>
    <xf numFmtId="41" fontId="3" fillId="0" borderId="9" xfId="0" applyNumberFormat="1" applyFont="1" applyBorder="1"/>
    <xf numFmtId="41" fontId="11" fillId="0" borderId="9" xfId="1" applyFont="1" applyBorder="1"/>
    <xf numFmtId="41" fontId="2" fillId="0" borderId="9" xfId="0" applyNumberFormat="1" applyFont="1" applyBorder="1"/>
    <xf numFmtId="41" fontId="2" fillId="0" borderId="29" xfId="0" applyNumberFormat="1" applyFont="1" applyBorder="1"/>
    <xf numFmtId="41" fontId="2" fillId="0" borderId="4" xfId="0" applyNumberFormat="1" applyFont="1" applyBorder="1"/>
    <xf numFmtId="0" fontId="2" fillId="4" borderId="25" xfId="0" applyFont="1" applyFill="1" applyBorder="1" applyAlignment="1">
      <alignment horizontal="center"/>
    </xf>
    <xf numFmtId="41" fontId="2" fillId="4" borderId="5" xfId="1" applyFont="1" applyFill="1" applyBorder="1"/>
    <xf numFmtId="0" fontId="2" fillId="4" borderId="2" xfId="0" applyFont="1" applyFill="1" applyBorder="1"/>
    <xf numFmtId="41" fontId="3" fillId="0" borderId="3" xfId="0" applyNumberFormat="1" applyFont="1" applyBorder="1"/>
    <xf numFmtId="0" fontId="2" fillId="0" borderId="33" xfId="0" applyFont="1" applyBorder="1"/>
    <xf numFmtId="0" fontId="2" fillId="0" borderId="34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7" borderId="14" xfId="0" applyFont="1" applyFill="1" applyBorder="1" applyAlignment="1">
      <alignment horizontal="center" vertical="center" wrapText="1"/>
    </xf>
    <xf numFmtId="10" fontId="2" fillId="7" borderId="1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/>
    <xf numFmtId="0" fontId="2" fillId="5" borderId="14" xfId="0" applyFont="1" applyFill="1" applyBorder="1" applyAlignment="1">
      <alignment horizontal="center" vertical="center" wrapText="1"/>
    </xf>
    <xf numFmtId="10" fontId="2" fillId="5" borderId="15" xfId="0" applyNumberFormat="1" applyFont="1" applyFill="1" applyBorder="1" applyAlignment="1">
      <alignment horizontal="center" vertical="center" wrapText="1"/>
    </xf>
    <xf numFmtId="41" fontId="11" fillId="0" borderId="0" xfId="0" applyNumberFormat="1" applyFont="1"/>
    <xf numFmtId="3" fontId="2" fillId="0" borderId="20" xfId="0" applyNumberFormat="1" applyFont="1" applyBorder="1"/>
    <xf numFmtId="3" fontId="2" fillId="0" borderId="22" xfId="0" applyNumberFormat="1" applyFont="1" applyBorder="1"/>
    <xf numFmtId="3" fontId="2" fillId="0" borderId="33" xfId="0" applyNumberFormat="1" applyFont="1" applyBorder="1"/>
    <xf numFmtId="0" fontId="2" fillId="4" borderId="22" xfId="0" applyFont="1" applyFill="1" applyBorder="1" applyAlignment="1">
      <alignment horizontal="center"/>
    </xf>
    <xf numFmtId="3" fontId="2" fillId="4" borderId="0" xfId="0" applyNumberFormat="1" applyFont="1" applyFill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6"/>
    </xf>
    <xf numFmtId="0" fontId="15" fillId="2" borderId="1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right" vertical="center" wrapText="1"/>
    </xf>
    <xf numFmtId="41" fontId="13" fillId="0" borderId="0" xfId="1" applyFont="1" applyBorder="1"/>
    <xf numFmtId="0" fontId="15" fillId="2" borderId="2" xfId="0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right" vertical="center" wrapText="1"/>
    </xf>
    <xf numFmtId="0" fontId="13" fillId="3" borderId="0" xfId="0" applyFont="1" applyFill="1"/>
    <xf numFmtId="41" fontId="13" fillId="3" borderId="0" xfId="0" applyNumberFormat="1" applyFont="1" applyFill="1"/>
    <xf numFmtId="41" fontId="13" fillId="3" borderId="0" xfId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3" fillId="0" borderId="5" xfId="0" applyFont="1" applyBorder="1"/>
    <xf numFmtId="41" fontId="13" fillId="0" borderId="5" xfId="1" applyFont="1" applyBorder="1"/>
    <xf numFmtId="41" fontId="13" fillId="0" borderId="5" xfId="0" applyNumberFormat="1" applyFont="1" applyBorder="1"/>
    <xf numFmtId="41" fontId="13" fillId="0" borderId="1" xfId="1" applyFont="1" applyBorder="1"/>
    <xf numFmtId="0" fontId="12" fillId="5" borderId="1" xfId="0" applyFont="1" applyFill="1" applyBorder="1" applyAlignment="1">
      <alignment horizontal="justify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justify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41" fontId="13" fillId="0" borderId="0" xfId="1" applyFont="1"/>
    <xf numFmtId="0" fontId="13" fillId="4" borderId="9" xfId="0" applyFont="1" applyFill="1" applyBorder="1" applyAlignment="1">
      <alignment horizontal="left" vertical="center" indent="6"/>
    </xf>
    <xf numFmtId="41" fontId="13" fillId="4" borderId="3" xfId="1" applyFont="1" applyFill="1" applyBorder="1"/>
    <xf numFmtId="0" fontId="13" fillId="3" borderId="0" xfId="0" applyFont="1" applyFill="1" applyAlignment="1">
      <alignment horizontal="left" vertical="center" indent="6"/>
    </xf>
    <xf numFmtId="41" fontId="13" fillId="3" borderId="0" xfId="1" applyFont="1" applyFill="1" applyBorder="1"/>
    <xf numFmtId="41" fontId="13" fillId="3" borderId="1" xfId="1" applyFont="1" applyFill="1" applyBorder="1"/>
    <xf numFmtId="0" fontId="13" fillId="3" borderId="9" xfId="0" applyFont="1" applyFill="1" applyBorder="1" applyAlignment="1">
      <alignment vertical="center"/>
    </xf>
    <xf numFmtId="41" fontId="13" fillId="0" borderId="2" xfId="0" applyNumberFormat="1" applyFont="1" applyBorder="1"/>
    <xf numFmtId="0" fontId="13" fillId="0" borderId="1" xfId="0" applyFont="1" applyBorder="1" applyAlignment="1">
      <alignment horizontal="center"/>
    </xf>
    <xf numFmtId="41" fontId="13" fillId="3" borderId="1" xfId="0" applyNumberFormat="1" applyFont="1" applyFill="1" applyBorder="1"/>
    <xf numFmtId="41" fontId="16" fillId="3" borderId="0" xfId="0" applyNumberFormat="1" applyFont="1" applyFill="1"/>
    <xf numFmtId="0" fontId="15" fillId="3" borderId="0" xfId="0" applyFont="1" applyFill="1" applyAlignment="1">
      <alignment horizontal="center" vertical="center" wrapText="1"/>
    </xf>
    <xf numFmtId="3" fontId="15" fillId="3" borderId="0" xfId="0" applyNumberFormat="1" applyFont="1" applyFill="1" applyAlignment="1">
      <alignment horizontal="right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1" fontId="2" fillId="0" borderId="6" xfId="1" applyFont="1" applyBorder="1" applyAlignment="1">
      <alignment horizontal="justify" vertical="center" wrapText="1"/>
    </xf>
    <xf numFmtId="41" fontId="2" fillId="0" borderId="6" xfId="1" applyFont="1" applyBorder="1" applyAlignment="1">
      <alignment horizontal="right" vertical="center" wrapText="1"/>
    </xf>
    <xf numFmtId="41" fontId="2" fillId="0" borderId="4" xfId="1" applyFont="1" applyBorder="1" applyAlignment="1">
      <alignment horizontal="justify" vertical="center" wrapText="1"/>
    </xf>
    <xf numFmtId="41" fontId="2" fillId="0" borderId="23" xfId="1" applyFont="1" applyBorder="1"/>
    <xf numFmtId="41" fontId="2" fillId="0" borderId="7" xfId="1" applyFont="1" applyBorder="1"/>
    <xf numFmtId="41" fontId="2" fillId="0" borderId="24" xfId="1" applyFont="1" applyBorder="1"/>
    <xf numFmtId="41" fontId="2" fillId="0" borderId="0" xfId="0" applyNumberFormat="1" applyFont="1" applyAlignment="1">
      <alignment horizontal="left"/>
    </xf>
    <xf numFmtId="0" fontId="2" fillId="4" borderId="9" xfId="0" applyFont="1" applyFill="1" applyBorder="1" applyAlignment="1">
      <alignment horizontal="left"/>
    </xf>
    <xf numFmtId="41" fontId="2" fillId="4" borderId="3" xfId="1" applyFont="1" applyFill="1" applyBorder="1"/>
    <xf numFmtId="41" fontId="2" fillId="4" borderId="4" xfId="1" applyFont="1" applyFill="1" applyBorder="1" applyAlignment="1">
      <alignment horizontal="right" vertical="center" wrapText="1"/>
    </xf>
    <xf numFmtId="10" fontId="2" fillId="0" borderId="0" xfId="0" applyNumberFormat="1" applyFont="1"/>
    <xf numFmtId="41" fontId="2" fillId="0" borderId="0" xfId="1" applyFont="1" applyAlignment="1">
      <alignment horizontal="center"/>
    </xf>
    <xf numFmtId="0" fontId="3" fillId="8" borderId="1" xfId="0" applyFont="1" applyFill="1" applyBorder="1"/>
    <xf numFmtId="0" fontId="3" fillId="0" borderId="9" xfId="0" applyFont="1" applyBorder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41" fontId="3" fillId="0" borderId="0" xfId="0" applyNumberFormat="1" applyFont="1"/>
    <xf numFmtId="0" fontId="11" fillId="0" borderId="3" xfId="0" applyFont="1" applyBorder="1"/>
    <xf numFmtId="0" fontId="3" fillId="0" borderId="10" xfId="0" applyFont="1" applyBorder="1"/>
    <xf numFmtId="0" fontId="3" fillId="0" borderId="3" xfId="0" applyFont="1" applyBorder="1"/>
    <xf numFmtId="41" fontId="11" fillId="0" borderId="5" xfId="0" applyNumberFormat="1" applyFont="1" applyBorder="1"/>
    <xf numFmtId="41" fontId="11" fillId="0" borderId="2" xfId="1" applyFont="1" applyBorder="1"/>
    <xf numFmtId="41" fontId="3" fillId="4" borderId="1" xfId="1" applyFont="1" applyFill="1" applyBorder="1"/>
    <xf numFmtId="41" fontId="3" fillId="4" borderId="1" xfId="0" applyNumberFormat="1" applyFont="1" applyFill="1" applyBorder="1"/>
    <xf numFmtId="41" fontId="3" fillId="0" borderId="1" xfId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1" fontId="3" fillId="0" borderId="0" xfId="0" applyNumberFormat="1" applyFont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 vertical="center" indent="6"/>
    </xf>
    <xf numFmtId="41" fontId="17" fillId="0" borderId="0" xfId="1" applyFont="1"/>
    <xf numFmtId="0" fontId="2" fillId="0" borderId="1" xfId="0" applyFont="1" applyBorder="1" applyAlignment="1">
      <alignment horizontal="left" vertical="center" indent="6"/>
    </xf>
    <xf numFmtId="41" fontId="3" fillId="3" borderId="1" xfId="0" applyNumberFormat="1" applyFont="1" applyFill="1" applyBorder="1"/>
    <xf numFmtId="0" fontId="2" fillId="0" borderId="5" xfId="0" applyFont="1" applyBorder="1" applyAlignment="1">
      <alignment horizontal="center"/>
    </xf>
    <xf numFmtId="41" fontId="2" fillId="3" borderId="1" xfId="1" applyFont="1" applyFill="1" applyBorder="1" applyAlignment="1">
      <alignment horizontal="center"/>
    </xf>
    <xf numFmtId="41" fontId="2" fillId="0" borderId="5" xfId="1" applyFont="1" applyBorder="1" applyAlignment="1">
      <alignment horizontal="center"/>
    </xf>
    <xf numFmtId="41" fontId="2" fillId="4" borderId="1" xfId="0" applyNumberFormat="1" applyFont="1" applyFill="1" applyBorder="1"/>
    <xf numFmtId="0" fontId="3" fillId="9" borderId="1" xfId="0" applyFont="1" applyFill="1" applyBorder="1" applyAlignment="1">
      <alignment horizontal="center"/>
    </xf>
    <xf numFmtId="41" fontId="2" fillId="4" borderId="2" xfId="1" applyFont="1" applyFill="1" applyBorder="1"/>
    <xf numFmtId="41" fontId="2" fillId="7" borderId="6" xfId="0" applyNumberFormat="1" applyFont="1" applyFill="1" applyBorder="1" applyAlignment="1">
      <alignment horizontal="justify" vertical="center" wrapText="1"/>
    </xf>
    <xf numFmtId="0" fontId="6" fillId="7" borderId="0" xfId="0" applyFont="1" applyFill="1" applyAlignment="1">
      <alignment horizontal="left" vertical="center"/>
    </xf>
    <xf numFmtId="41" fontId="2" fillId="7" borderId="0" xfId="1" applyFont="1" applyFill="1"/>
    <xf numFmtId="41" fontId="3" fillId="5" borderId="1" xfId="1" applyFont="1" applyFill="1" applyBorder="1"/>
    <xf numFmtId="41" fontId="2" fillId="0" borderId="4" xfId="1" applyFont="1" applyBorder="1" applyAlignment="1">
      <alignment horizontal="center" vertical="center" wrapText="1"/>
    </xf>
    <xf numFmtId="41" fontId="3" fillId="0" borderId="2" xfId="0" applyNumberFormat="1" applyFont="1" applyBorder="1" applyAlignment="1">
      <alignment horizontal="center"/>
    </xf>
    <xf numFmtId="41" fontId="2" fillId="5" borderId="4" xfId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17" fontId="2" fillId="3" borderId="14" xfId="0" applyNumberFormat="1" applyFont="1" applyFill="1" applyBorder="1" applyAlignment="1">
      <alignment horizontal="center" vertical="center" wrapText="1"/>
    </xf>
    <xf numFmtId="10" fontId="2" fillId="3" borderId="15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9" fontId="3" fillId="5" borderId="9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9" fontId="12" fillId="5" borderId="9" xfId="0" applyNumberFormat="1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1" fontId="6" fillId="0" borderId="9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41" fontId="3" fillId="0" borderId="9" xfId="1" applyFont="1" applyBorder="1" applyAlignment="1">
      <alignment horizontal="center"/>
    </xf>
    <xf numFmtId="41" fontId="3" fillId="0" borderId="3" xfId="1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223520</xdr:colOff>
      <xdr:row>45</xdr:row>
      <xdr:rowOff>62180</xdr:rowOff>
    </xdr:from>
    <xdr:to>
      <xdr:col>15</xdr:col>
      <xdr:colOff>18483</xdr:colOff>
      <xdr:row>61</xdr:row>
      <xdr:rowOff>76531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687955-D0A8-86FE-7AAD-2A86FE336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6680" y="9551620"/>
          <a:ext cx="5763963" cy="2716911"/>
        </a:xfrm>
        <a:prstGeom prst="rect">
          <a:avLst/>
        </a:prstGeom>
      </xdr:spPr>
    </xdr:pic>
    <xdr:clientData/>
  </xdr:twoCellAnchor>
  <xdr:twoCellAnchor>
    <xdr:from>
      <xdr:col>7</xdr:col>
      <xdr:colOff>223520</xdr:colOff>
      <xdr:row>50</xdr:row>
      <xdr:rowOff>162560</xdr:rowOff>
    </xdr:from>
    <xdr:to>
      <xdr:col>14</xdr:col>
      <xdr:colOff>508000</xdr:colOff>
      <xdr:row>54</xdr:row>
      <xdr:rowOff>71120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21F78F2-09D6-3AC9-E984-08A1F04D669E}"/>
            </a:ext>
          </a:extLst>
        </xdr:cNvPr>
        <xdr:cNvSpPr/>
      </xdr:nvSpPr>
      <xdr:spPr>
        <a:xfrm>
          <a:off x="8996680" y="10561320"/>
          <a:ext cx="5831840" cy="640080"/>
        </a:xfrm>
        <a:prstGeom prst="rect">
          <a:avLst/>
        </a:prstGeom>
        <a:noFill/>
        <a:ln w="444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5</xdr:col>
      <xdr:colOff>1381760</xdr:colOff>
      <xdr:row>93</xdr:row>
      <xdr:rowOff>177800</xdr:rowOff>
    </xdr:from>
    <xdr:to>
      <xdr:col>6</xdr:col>
      <xdr:colOff>1148080</xdr:colOff>
      <xdr:row>108</xdr:row>
      <xdr:rowOff>137160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1262A729-5F79-A652-FE98-7EAF312D36AF}"/>
            </a:ext>
          </a:extLst>
        </xdr:cNvPr>
        <xdr:cNvCxnSpPr/>
      </xdr:nvCxnSpPr>
      <xdr:spPr>
        <a:xfrm flipH="1" flipV="1">
          <a:off x="7721600" y="17825720"/>
          <a:ext cx="1229360" cy="258572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1325880</xdr:colOff>
      <xdr:row>131</xdr:row>
      <xdr:rowOff>167640</xdr:rowOff>
    </xdr:from>
    <xdr:to>
      <xdr:col>6</xdr:col>
      <xdr:colOff>1092200</xdr:colOff>
      <xdr:row>146</xdr:row>
      <xdr:rowOff>127000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60CD8D0B-6958-44CF-B4AB-0B7B13C3AC75}"/>
            </a:ext>
          </a:extLst>
        </xdr:cNvPr>
        <xdr:cNvCxnSpPr/>
      </xdr:nvCxnSpPr>
      <xdr:spPr>
        <a:xfrm flipH="1" flipV="1">
          <a:off x="7665720" y="24389080"/>
          <a:ext cx="1229360" cy="258572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1300480</xdr:colOff>
      <xdr:row>169</xdr:row>
      <xdr:rowOff>157480</xdr:rowOff>
    </xdr:from>
    <xdr:to>
      <xdr:col>6</xdr:col>
      <xdr:colOff>1066800</xdr:colOff>
      <xdr:row>185</xdr:row>
      <xdr:rowOff>116840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9311EE1D-7EBD-459F-B035-C71C561A4A39}"/>
            </a:ext>
          </a:extLst>
        </xdr:cNvPr>
        <xdr:cNvCxnSpPr/>
      </xdr:nvCxnSpPr>
      <xdr:spPr>
        <a:xfrm flipH="1" flipV="1">
          <a:off x="7640320" y="30947360"/>
          <a:ext cx="1229360" cy="258572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1371600</xdr:colOff>
      <xdr:row>208</xdr:row>
      <xdr:rowOff>198120</xdr:rowOff>
    </xdr:from>
    <xdr:to>
      <xdr:col>6</xdr:col>
      <xdr:colOff>1137920</xdr:colOff>
      <xdr:row>224</xdr:row>
      <xdr:rowOff>157480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2D11CE2A-A5F5-44B0-97BF-CB31032B6AEC}"/>
            </a:ext>
          </a:extLst>
        </xdr:cNvPr>
        <xdr:cNvCxnSpPr/>
      </xdr:nvCxnSpPr>
      <xdr:spPr>
        <a:xfrm flipH="1" flipV="1">
          <a:off x="7711440" y="37739320"/>
          <a:ext cx="1229360" cy="276352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1371600</xdr:colOff>
      <xdr:row>246</xdr:row>
      <xdr:rowOff>198120</xdr:rowOff>
    </xdr:from>
    <xdr:to>
      <xdr:col>6</xdr:col>
      <xdr:colOff>548640</xdr:colOff>
      <xdr:row>263</xdr:row>
      <xdr:rowOff>137160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4D15D6B0-5139-4592-8DA6-0A796D7789DD}"/>
            </a:ext>
          </a:extLst>
        </xdr:cNvPr>
        <xdr:cNvCxnSpPr/>
      </xdr:nvCxnSpPr>
      <xdr:spPr>
        <a:xfrm flipH="1" flipV="1">
          <a:off x="7711440" y="44307760"/>
          <a:ext cx="640080" cy="2926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904D-8D25-4039-8ED5-0F218103460E}">
  <dimension ref="A1:N264"/>
  <sheetViews>
    <sheetView showGridLines="0" tabSelected="1" zoomScale="120" zoomScaleNormal="120" workbookViewId="0">
      <selection activeCell="B9" sqref="B9"/>
    </sheetView>
  </sheetViews>
  <sheetFormatPr baseColWidth="10" defaultColWidth="11.53125" defaultRowHeight="13.5" x14ac:dyDescent="0.35"/>
  <cols>
    <col min="1" max="1" width="12.1328125" style="1" customWidth="1"/>
    <col min="2" max="2" width="18.6640625" style="1" customWidth="1"/>
    <col min="3" max="3" width="16.1328125" style="1" customWidth="1"/>
    <col min="4" max="4" width="27.6640625" style="1" customWidth="1"/>
    <col min="5" max="5" width="17.796875" style="1" bestFit="1" customWidth="1"/>
    <col min="6" max="6" width="21.33203125" style="1" customWidth="1"/>
    <col min="7" max="7" width="20.53125" style="1" customWidth="1"/>
    <col min="8" max="8" width="6.1328125" style="1" customWidth="1"/>
    <col min="9" max="16384" width="11.53125" style="1"/>
  </cols>
  <sheetData>
    <row r="1" spans="2:7" ht="13.9" thickBot="1" x14ac:dyDescent="0.4"/>
    <row r="2" spans="2:7" ht="13.9" thickBot="1" x14ac:dyDescent="0.4">
      <c r="B2" s="256" t="s">
        <v>27</v>
      </c>
      <c r="C2" s="257"/>
      <c r="D2" s="257"/>
      <c r="E2" s="257"/>
      <c r="F2" s="257"/>
      <c r="G2" s="258"/>
    </row>
    <row r="3" spans="2:7" ht="13.9" thickBot="1" x14ac:dyDescent="0.4"/>
    <row r="4" spans="2:7" ht="13.9" thickBot="1" x14ac:dyDescent="0.4">
      <c r="B4" s="259" t="s">
        <v>28</v>
      </c>
      <c r="C4" s="260"/>
      <c r="D4" s="260"/>
      <c r="E4" s="260"/>
      <c r="F4" s="260"/>
      <c r="G4" s="261"/>
    </row>
    <row r="5" spans="2:7" ht="13.9" thickBot="1" x14ac:dyDescent="0.4"/>
    <row r="6" spans="2:7" ht="13.9" thickBot="1" x14ac:dyDescent="0.4">
      <c r="B6" s="29" t="s">
        <v>29</v>
      </c>
      <c r="C6" s="11" t="s">
        <v>0</v>
      </c>
      <c r="D6" s="11" t="s">
        <v>30</v>
      </c>
      <c r="E6" s="11" t="s">
        <v>7</v>
      </c>
      <c r="F6" s="11" t="s">
        <v>1</v>
      </c>
      <c r="G6" s="11" t="s">
        <v>31</v>
      </c>
    </row>
    <row r="7" spans="2:7" ht="13.9" thickBot="1" x14ac:dyDescent="0.4">
      <c r="B7" s="76" t="s">
        <v>32</v>
      </c>
      <c r="C7" s="77" t="s">
        <v>33</v>
      </c>
      <c r="D7" s="78" t="s">
        <v>34</v>
      </c>
      <c r="E7" s="79">
        <v>3000000</v>
      </c>
      <c r="F7" s="78" t="s">
        <v>94</v>
      </c>
      <c r="G7" s="78" t="s">
        <v>13</v>
      </c>
    </row>
    <row r="8" spans="2:7" ht="27.4" thickBot="1" x14ac:dyDescent="0.4">
      <c r="B8" s="80" t="s">
        <v>32</v>
      </c>
      <c r="C8" s="81" t="s">
        <v>35</v>
      </c>
      <c r="D8" s="82" t="s">
        <v>36</v>
      </c>
      <c r="E8" s="83">
        <v>4500000</v>
      </c>
      <c r="F8" s="82" t="s">
        <v>94</v>
      </c>
      <c r="G8" s="82" t="s">
        <v>13</v>
      </c>
    </row>
    <row r="9" spans="2:7" ht="13.9" thickBot="1" x14ac:dyDescent="0.4">
      <c r="B9" s="80" t="s">
        <v>37</v>
      </c>
      <c r="C9" s="81" t="s">
        <v>38</v>
      </c>
      <c r="D9" s="82" t="s">
        <v>39</v>
      </c>
      <c r="E9" s="83">
        <v>2000000</v>
      </c>
      <c r="F9" s="82" t="s">
        <v>94</v>
      </c>
      <c r="G9" s="82" t="s">
        <v>13</v>
      </c>
    </row>
    <row r="10" spans="2:7" ht="13.9" thickBot="1" x14ac:dyDescent="0.4">
      <c r="B10" s="80" t="s">
        <v>40</v>
      </c>
      <c r="C10" s="81" t="s">
        <v>41</v>
      </c>
      <c r="D10" s="82" t="s">
        <v>42</v>
      </c>
      <c r="E10" s="83">
        <v>10500000</v>
      </c>
      <c r="F10" s="82" t="s">
        <v>94</v>
      </c>
      <c r="G10" s="82" t="s">
        <v>13</v>
      </c>
    </row>
    <row r="11" spans="2:7" ht="13.9" thickBot="1" x14ac:dyDescent="0.4">
      <c r="B11" s="80" t="s">
        <v>43</v>
      </c>
      <c r="C11" s="81" t="s">
        <v>44</v>
      </c>
      <c r="D11" s="82" t="s">
        <v>45</v>
      </c>
      <c r="E11" s="83">
        <v>2800000</v>
      </c>
      <c r="F11" s="82" t="s">
        <v>94</v>
      </c>
      <c r="G11" s="82" t="s">
        <v>13</v>
      </c>
    </row>
    <row r="12" spans="2:7" ht="13.9" thickBot="1" x14ac:dyDescent="0.4">
      <c r="B12" s="80" t="s">
        <v>59</v>
      </c>
      <c r="C12" s="81" t="s">
        <v>35</v>
      </c>
      <c r="D12" s="82" t="s">
        <v>46</v>
      </c>
      <c r="E12" s="83">
        <v>900000</v>
      </c>
      <c r="F12" s="82" t="s">
        <v>94</v>
      </c>
      <c r="G12" s="82" t="s">
        <v>13</v>
      </c>
    </row>
    <row r="13" spans="2:7" ht="13.9" thickBot="1" x14ac:dyDescent="0.4">
      <c r="B13" s="80" t="s">
        <v>60</v>
      </c>
      <c r="C13" s="81" t="s">
        <v>47</v>
      </c>
      <c r="D13" s="82" t="s">
        <v>48</v>
      </c>
      <c r="E13" s="83">
        <v>1500000</v>
      </c>
      <c r="F13" s="82" t="s">
        <v>94</v>
      </c>
      <c r="G13" s="82" t="s">
        <v>13</v>
      </c>
    </row>
    <row r="14" spans="2:7" ht="13.9" thickBot="1" x14ac:dyDescent="0.4">
      <c r="B14" s="80" t="s">
        <v>61</v>
      </c>
      <c r="C14" s="81" t="s">
        <v>38</v>
      </c>
      <c r="D14" s="82" t="s">
        <v>39</v>
      </c>
      <c r="E14" s="83">
        <v>2000000</v>
      </c>
      <c r="F14" s="82" t="s">
        <v>94</v>
      </c>
      <c r="G14" s="82" t="s">
        <v>13</v>
      </c>
    </row>
    <row r="15" spans="2:7" ht="13.9" thickBot="1" x14ac:dyDescent="0.4">
      <c r="B15" s="224" t="s">
        <v>62</v>
      </c>
      <c r="C15" s="225" t="s">
        <v>49</v>
      </c>
      <c r="D15" s="226" t="s">
        <v>50</v>
      </c>
      <c r="E15" s="227">
        <v>3000000</v>
      </c>
      <c r="F15" s="226" t="s">
        <v>95</v>
      </c>
      <c r="G15" s="226" t="s">
        <v>95</v>
      </c>
    </row>
    <row r="16" spans="2:7" ht="13.9" thickBot="1" x14ac:dyDescent="0.4">
      <c r="B16" s="42" t="s">
        <v>63</v>
      </c>
      <c r="C16" s="23" t="s">
        <v>51</v>
      </c>
      <c r="D16" s="30" t="s">
        <v>52</v>
      </c>
      <c r="E16" s="24">
        <v>450000</v>
      </c>
      <c r="F16" s="30" t="s">
        <v>94</v>
      </c>
      <c r="G16" s="30" t="s">
        <v>94</v>
      </c>
    </row>
    <row r="17" spans="2:7" ht="13.9" thickBot="1" x14ac:dyDescent="0.4">
      <c r="B17" s="42" t="s">
        <v>64</v>
      </c>
      <c r="C17" s="23" t="s">
        <v>35</v>
      </c>
      <c r="D17" s="30" t="s">
        <v>46</v>
      </c>
      <c r="E17" s="24">
        <v>900000</v>
      </c>
      <c r="F17" s="30" t="s">
        <v>94</v>
      </c>
      <c r="G17" s="30" t="s">
        <v>94</v>
      </c>
    </row>
    <row r="18" spans="2:7" ht="13.9" thickBot="1" x14ac:dyDescent="0.4">
      <c r="B18" s="42" t="s">
        <v>65</v>
      </c>
      <c r="C18" s="23" t="s">
        <v>53</v>
      </c>
      <c r="D18" s="30" t="s">
        <v>54</v>
      </c>
      <c r="E18" s="24">
        <v>1000000</v>
      </c>
      <c r="F18" s="30" t="s">
        <v>94</v>
      </c>
      <c r="G18" s="30" t="s">
        <v>94</v>
      </c>
    </row>
    <row r="19" spans="2:7" ht="13.9" thickBot="1" x14ac:dyDescent="0.4">
      <c r="B19" s="42" t="s">
        <v>66</v>
      </c>
      <c r="C19" s="23" t="s">
        <v>38</v>
      </c>
      <c r="D19" s="30" t="s">
        <v>39</v>
      </c>
      <c r="E19" s="24">
        <v>2000000</v>
      </c>
      <c r="F19" s="30" t="s">
        <v>94</v>
      </c>
      <c r="G19" s="30" t="s">
        <v>94</v>
      </c>
    </row>
    <row r="20" spans="2:7" ht="13.9" thickBot="1" x14ac:dyDescent="0.4">
      <c r="B20" s="42" t="s">
        <v>67</v>
      </c>
      <c r="C20" s="23" t="s">
        <v>49</v>
      </c>
      <c r="D20" s="30" t="s">
        <v>50</v>
      </c>
      <c r="E20" s="24">
        <v>5500000</v>
      </c>
      <c r="F20" s="30" t="s">
        <v>95</v>
      </c>
      <c r="G20" s="30" t="s">
        <v>95</v>
      </c>
    </row>
    <row r="21" spans="2:7" ht="13.9" thickBot="1" x14ac:dyDescent="0.4"/>
    <row r="22" spans="2:7" ht="13.9" thickBot="1" x14ac:dyDescent="0.4">
      <c r="B22" s="29" t="s">
        <v>29</v>
      </c>
      <c r="C22" s="11" t="s">
        <v>30</v>
      </c>
      <c r="D22" s="11" t="s">
        <v>7</v>
      </c>
      <c r="E22" s="95" t="s">
        <v>97</v>
      </c>
      <c r="F22" s="96" t="s">
        <v>98</v>
      </c>
    </row>
    <row r="23" spans="2:7" ht="27.4" thickBot="1" x14ac:dyDescent="0.4">
      <c r="B23" s="76" t="s">
        <v>32</v>
      </c>
      <c r="C23" s="78" t="s">
        <v>34</v>
      </c>
      <c r="D23" s="79">
        <v>3000000</v>
      </c>
      <c r="E23" s="19">
        <f>+D23*C35</f>
        <v>45000</v>
      </c>
      <c r="F23" s="93">
        <f>+D23+E23</f>
        <v>3045000</v>
      </c>
    </row>
    <row r="24" spans="2:7" ht="40.9" thickBot="1" x14ac:dyDescent="0.4">
      <c r="B24" s="80" t="s">
        <v>32</v>
      </c>
      <c r="C24" s="82" t="s">
        <v>36</v>
      </c>
      <c r="D24" s="83">
        <v>4500000</v>
      </c>
      <c r="E24" s="19">
        <f>+D24*C35</f>
        <v>67500</v>
      </c>
      <c r="F24" s="93">
        <f t="shared" ref="F24:F30" si="0">+D24+E24</f>
        <v>4567500</v>
      </c>
    </row>
    <row r="25" spans="2:7" ht="13.9" thickBot="1" x14ac:dyDescent="0.4">
      <c r="B25" s="80" t="s">
        <v>37</v>
      </c>
      <c r="C25" s="82" t="s">
        <v>39</v>
      </c>
      <c r="D25" s="83">
        <v>2000000</v>
      </c>
      <c r="E25" s="19">
        <f>+D25*C35</f>
        <v>30000</v>
      </c>
      <c r="F25" s="93">
        <f t="shared" si="0"/>
        <v>2030000</v>
      </c>
    </row>
    <row r="26" spans="2:7" ht="27.4" thickBot="1" x14ac:dyDescent="0.4">
      <c r="B26" s="80" t="s">
        <v>40</v>
      </c>
      <c r="C26" s="82" t="s">
        <v>42</v>
      </c>
      <c r="D26" s="83">
        <v>10500000</v>
      </c>
      <c r="E26" s="19">
        <f>+D26*C35</f>
        <v>157500</v>
      </c>
      <c r="F26" s="93">
        <f t="shared" si="0"/>
        <v>10657500</v>
      </c>
    </row>
    <row r="27" spans="2:7" ht="27.4" thickBot="1" x14ac:dyDescent="0.4">
      <c r="B27" s="80" t="s">
        <v>43</v>
      </c>
      <c r="C27" s="82" t="s">
        <v>45</v>
      </c>
      <c r="D27" s="83">
        <v>2800000</v>
      </c>
      <c r="E27" s="19">
        <f>+D27*C36</f>
        <v>28000</v>
      </c>
      <c r="F27" s="93">
        <f t="shared" si="0"/>
        <v>2828000</v>
      </c>
    </row>
    <row r="28" spans="2:7" ht="13.9" thickBot="1" x14ac:dyDescent="0.4">
      <c r="B28" s="80" t="s">
        <v>59</v>
      </c>
      <c r="C28" s="82" t="s">
        <v>46</v>
      </c>
      <c r="D28" s="83">
        <v>900000</v>
      </c>
      <c r="E28" s="19">
        <f>+D28*C36</f>
        <v>9000</v>
      </c>
      <c r="F28" s="93">
        <f t="shared" si="0"/>
        <v>909000</v>
      </c>
    </row>
    <row r="29" spans="2:7" ht="13.9" thickBot="1" x14ac:dyDescent="0.4">
      <c r="B29" s="80" t="s">
        <v>60</v>
      </c>
      <c r="C29" s="82" t="s">
        <v>48</v>
      </c>
      <c r="D29" s="83">
        <v>1500000</v>
      </c>
      <c r="E29" s="19">
        <f>+D29*C36</f>
        <v>15000</v>
      </c>
      <c r="F29" s="93">
        <f t="shared" si="0"/>
        <v>1515000</v>
      </c>
    </row>
    <row r="30" spans="2:7" ht="13.9" thickBot="1" x14ac:dyDescent="0.4">
      <c r="B30" s="80" t="s">
        <v>61</v>
      </c>
      <c r="C30" s="82" t="s">
        <v>39</v>
      </c>
      <c r="D30" s="83">
        <v>2000000</v>
      </c>
      <c r="E30" s="19">
        <f>+D30*C36</f>
        <v>20000</v>
      </c>
      <c r="F30" s="93">
        <f t="shared" si="0"/>
        <v>2020000</v>
      </c>
    </row>
    <row r="31" spans="2:7" ht="13.9" thickBot="1" x14ac:dyDescent="0.4">
      <c r="B31" s="265" t="s">
        <v>96</v>
      </c>
      <c r="C31" s="266"/>
      <c r="D31" s="85">
        <f>SUM(D23:D30)</f>
        <v>27200000</v>
      </c>
      <c r="F31" s="94">
        <f>SUM(F23:F30)</f>
        <v>27572000</v>
      </c>
    </row>
    <row r="33" spans="2:14" ht="13.9" thickBot="1" x14ac:dyDescent="0.4"/>
    <row r="34" spans="2:14" ht="27.75" thickTop="1" thickBot="1" x14ac:dyDescent="0.4">
      <c r="B34" s="31" t="s">
        <v>55</v>
      </c>
      <c r="C34" s="32" t="s">
        <v>56</v>
      </c>
      <c r="D34" s="262" t="s">
        <v>57</v>
      </c>
      <c r="E34" s="262" t="s">
        <v>58</v>
      </c>
    </row>
    <row r="35" spans="2:14" ht="14.25" thickTop="1" thickBot="1" x14ac:dyDescent="0.4">
      <c r="B35" s="34">
        <v>44835</v>
      </c>
      <c r="C35" s="35">
        <v>1.4999999999999999E-2</v>
      </c>
      <c r="D35" s="263"/>
      <c r="E35" s="263"/>
    </row>
    <row r="36" spans="2:14" ht="13.9" thickBot="1" x14ac:dyDescent="0.4">
      <c r="B36" s="34">
        <v>44866</v>
      </c>
      <c r="C36" s="35">
        <v>0.01</v>
      </c>
      <c r="D36" s="264"/>
      <c r="E36" s="264"/>
    </row>
    <row r="37" spans="2:14" ht="13.9" thickBot="1" x14ac:dyDescent="0.4">
      <c r="B37" s="34">
        <v>44896</v>
      </c>
      <c r="C37" s="35">
        <v>0</v>
      </c>
      <c r="D37" s="30">
        <v>2022</v>
      </c>
      <c r="E37" s="36">
        <v>0.27</v>
      </c>
    </row>
    <row r="38" spans="2:14" ht="13.9" thickBot="1" x14ac:dyDescent="0.4">
      <c r="B38" s="115">
        <v>2023</v>
      </c>
      <c r="C38" s="116">
        <v>0.06</v>
      </c>
      <c r="D38" s="30">
        <v>2023</v>
      </c>
      <c r="E38" s="36">
        <v>0.27</v>
      </c>
      <c r="I38" s="44" t="s">
        <v>3</v>
      </c>
      <c r="J38" s="270" t="s">
        <v>0</v>
      </c>
      <c r="K38" s="271"/>
      <c r="L38" s="272"/>
      <c r="M38" s="45" t="s">
        <v>4</v>
      </c>
      <c r="N38" s="45" t="s">
        <v>5</v>
      </c>
    </row>
    <row r="39" spans="2:14" ht="13.9" thickBot="1" x14ac:dyDescent="0.4">
      <c r="B39" s="134">
        <v>2024</v>
      </c>
      <c r="C39" s="135">
        <v>0.03</v>
      </c>
      <c r="D39" s="30">
        <v>2024</v>
      </c>
      <c r="E39" s="36">
        <v>0.27</v>
      </c>
      <c r="I39" s="103" t="s">
        <v>26</v>
      </c>
      <c r="J39" s="104" t="s">
        <v>2</v>
      </c>
      <c r="K39" s="104">
        <v>1</v>
      </c>
      <c r="L39" s="105" t="s">
        <v>2</v>
      </c>
      <c r="M39" s="106"/>
      <c r="N39" s="106"/>
    </row>
    <row r="40" spans="2:14" ht="13.9" thickBot="1" x14ac:dyDescent="0.4">
      <c r="B40" s="137">
        <v>2025</v>
      </c>
      <c r="C40" s="138">
        <v>2.3E-2</v>
      </c>
      <c r="D40" s="30">
        <v>2025</v>
      </c>
      <c r="E40" s="36">
        <v>0.27</v>
      </c>
      <c r="I40" s="107" t="s">
        <v>94</v>
      </c>
      <c r="J40" s="273" t="s">
        <v>107</v>
      </c>
      <c r="K40" s="274"/>
      <c r="L40" s="275"/>
      <c r="M40" s="108">
        <f>-E45</f>
        <v>4595333</v>
      </c>
      <c r="N40" s="109"/>
    </row>
    <row r="41" spans="2:14" ht="13.9" thickBot="1" x14ac:dyDescent="0.4">
      <c r="B41" s="37">
        <v>2026</v>
      </c>
      <c r="C41" s="35">
        <v>3.1E-2</v>
      </c>
      <c r="D41" s="30">
        <v>2026</v>
      </c>
      <c r="E41" s="36">
        <v>0.27</v>
      </c>
      <c r="I41" s="107" t="s">
        <v>6</v>
      </c>
      <c r="J41" s="284" t="str">
        <f>+B45</f>
        <v>Amortización Gastos de Organización</v>
      </c>
      <c r="K41" s="285"/>
      <c r="L41" s="286"/>
      <c r="M41" s="109"/>
      <c r="N41" s="108">
        <f>+M40</f>
        <v>4595333</v>
      </c>
    </row>
    <row r="42" spans="2:14" ht="13.9" thickBot="1" x14ac:dyDescent="0.4">
      <c r="B42" s="38">
        <v>2027</v>
      </c>
      <c r="C42" s="39">
        <v>2.1000000000000001E-2</v>
      </c>
      <c r="D42" s="40">
        <v>2027</v>
      </c>
      <c r="E42" s="41">
        <v>0.27</v>
      </c>
      <c r="I42" s="3"/>
      <c r="J42" s="279"/>
      <c r="K42" s="280"/>
      <c r="L42" s="281"/>
      <c r="M42" s="4"/>
      <c r="N42" s="4"/>
    </row>
    <row r="43" spans="2:14" ht="14.25" thickTop="1" thickBot="1" x14ac:dyDescent="0.4">
      <c r="I43" s="5"/>
      <c r="J43" s="6"/>
      <c r="K43" s="6"/>
      <c r="L43" s="7"/>
      <c r="M43" s="7"/>
      <c r="N43" s="7"/>
    </row>
    <row r="44" spans="2:14" ht="13.9" thickBot="1" x14ac:dyDescent="0.4">
      <c r="B44" s="90" t="s">
        <v>8</v>
      </c>
      <c r="C44" s="97"/>
      <c r="D44" s="91"/>
      <c r="E44" s="94">
        <f>+F31</f>
        <v>27572000</v>
      </c>
    </row>
    <row r="45" spans="2:14" ht="13.9" thickBot="1" x14ac:dyDescent="0.4">
      <c r="B45" s="99" t="s">
        <v>9</v>
      </c>
      <c r="C45" s="100"/>
      <c r="D45" s="100"/>
      <c r="E45" s="101">
        <f>ROUND(+E44/6,0)*-1</f>
        <v>-4595333</v>
      </c>
    </row>
    <row r="46" spans="2:14" ht="13.9" thickBot="1" x14ac:dyDescent="0.4">
      <c r="B46" s="90" t="s">
        <v>86</v>
      </c>
      <c r="C46" s="97"/>
      <c r="D46" s="91"/>
      <c r="E46" s="93">
        <f>SUM(E44:E45)</f>
        <v>22976667</v>
      </c>
    </row>
    <row r="48" spans="2:14" ht="13.9" thickBot="1" x14ac:dyDescent="0.4"/>
    <row r="49" spans="2:7" ht="13.9" thickBot="1" x14ac:dyDescent="0.4">
      <c r="B49" s="259" t="s">
        <v>70</v>
      </c>
      <c r="C49" s="260"/>
      <c r="D49" s="260"/>
      <c r="E49" s="260"/>
      <c r="F49" s="260"/>
      <c r="G49" s="261"/>
    </row>
    <row r="50" spans="2:7" ht="13.9" thickBot="1" x14ac:dyDescent="0.4"/>
    <row r="51" spans="2:7" ht="13.9" thickBot="1" x14ac:dyDescent="0.4">
      <c r="B51" s="43">
        <v>2022</v>
      </c>
    </row>
    <row r="52" spans="2:7" ht="13.9" thickBot="1" x14ac:dyDescent="0.4"/>
    <row r="53" spans="2:7" ht="13.9" thickBot="1" x14ac:dyDescent="0.4">
      <c r="F53" s="282">
        <v>0.27</v>
      </c>
      <c r="G53" s="283"/>
    </row>
    <row r="54" spans="2:7" ht="13.9" thickBot="1" x14ac:dyDescent="0.4">
      <c r="B54" s="43" t="s">
        <v>0</v>
      </c>
      <c r="C54" s="43" t="s">
        <v>1</v>
      </c>
      <c r="D54" s="43" t="s">
        <v>11</v>
      </c>
      <c r="E54" s="43" t="s">
        <v>12</v>
      </c>
      <c r="F54" s="43" t="s">
        <v>13</v>
      </c>
      <c r="G54" s="43" t="s">
        <v>6</v>
      </c>
    </row>
    <row r="55" spans="2:7" ht="6.6" customHeight="1" x14ac:dyDescent="0.35">
      <c r="B55" s="18"/>
      <c r="C55" s="18"/>
      <c r="D55" s="18"/>
      <c r="E55" s="20"/>
      <c r="F55" s="20"/>
      <c r="G55" s="20"/>
    </row>
    <row r="56" spans="2:7" x14ac:dyDescent="0.35">
      <c r="B56" s="18" t="str">
        <f>+B44</f>
        <v>Gastos de Organización y Puesta en Marcha</v>
      </c>
      <c r="C56" s="18">
        <v>0</v>
      </c>
      <c r="D56" s="21">
        <f>+E46</f>
        <v>22976667</v>
      </c>
      <c r="E56" s="20">
        <f>+D56</f>
        <v>22976667</v>
      </c>
      <c r="F56" s="20">
        <f>ROUND(+E56*F53,0)</f>
        <v>6203700</v>
      </c>
      <c r="G56" s="20"/>
    </row>
    <row r="57" spans="2:7" ht="3" customHeight="1" thickBot="1" x14ac:dyDescent="0.4">
      <c r="B57" s="18"/>
      <c r="C57" s="18"/>
      <c r="D57" s="18"/>
      <c r="E57" s="20"/>
      <c r="F57" s="20"/>
      <c r="G57" s="20"/>
    </row>
    <row r="58" spans="2:7" ht="16.8" customHeight="1" thickBot="1" x14ac:dyDescent="0.4">
      <c r="B58" s="17"/>
      <c r="C58" s="17"/>
      <c r="D58" s="17"/>
      <c r="E58" s="19"/>
      <c r="F58" s="102">
        <f>SUM(F56:F57)</f>
        <v>6203700</v>
      </c>
      <c r="G58" s="19"/>
    </row>
    <row r="59" spans="2:7" ht="13.9" thickBot="1" x14ac:dyDescent="0.4"/>
    <row r="60" spans="2:7" ht="13.9" thickBot="1" x14ac:dyDescent="0.4">
      <c r="B60" s="44" t="s">
        <v>3</v>
      </c>
      <c r="C60" s="270" t="s">
        <v>0</v>
      </c>
      <c r="D60" s="271"/>
      <c r="E60" s="272"/>
      <c r="F60" s="45" t="s">
        <v>4</v>
      </c>
      <c r="G60" s="45" t="s">
        <v>5</v>
      </c>
    </row>
    <row r="61" spans="2:7" x14ac:dyDescent="0.35">
      <c r="B61" s="103" t="s">
        <v>99</v>
      </c>
      <c r="C61" s="104" t="s">
        <v>2</v>
      </c>
      <c r="D61" s="104">
        <v>1</v>
      </c>
      <c r="E61" s="105" t="s">
        <v>2</v>
      </c>
      <c r="F61" s="106"/>
      <c r="G61" s="106"/>
    </row>
    <row r="62" spans="2:7" x14ac:dyDescent="0.35">
      <c r="B62" s="107" t="s">
        <v>13</v>
      </c>
      <c r="C62" s="273" t="s">
        <v>101</v>
      </c>
      <c r="D62" s="274"/>
      <c r="E62" s="275"/>
      <c r="F62" s="108">
        <f>+F58</f>
        <v>6203700</v>
      </c>
      <c r="G62" s="109"/>
    </row>
    <row r="63" spans="2:7" x14ac:dyDescent="0.35">
      <c r="B63" s="107" t="s">
        <v>100</v>
      </c>
      <c r="C63" s="284" t="s">
        <v>102</v>
      </c>
      <c r="D63" s="285"/>
      <c r="E63" s="286"/>
      <c r="F63" s="109"/>
      <c r="G63" s="108">
        <f>+F62</f>
        <v>6203700</v>
      </c>
    </row>
    <row r="64" spans="2:7" x14ac:dyDescent="0.35">
      <c r="B64" s="3"/>
      <c r="C64" s="279" t="s">
        <v>103</v>
      </c>
      <c r="D64" s="280"/>
      <c r="E64" s="281"/>
      <c r="F64" s="4"/>
      <c r="G64" s="4"/>
    </row>
    <row r="65" spans="2:14" ht="6.6" customHeight="1" thickBot="1" x14ac:dyDescent="0.4">
      <c r="B65" s="5"/>
      <c r="C65" s="6"/>
      <c r="D65" s="6"/>
      <c r="E65" s="7"/>
      <c r="F65" s="7"/>
      <c r="G65" s="7"/>
    </row>
    <row r="68" spans="2:14" x14ac:dyDescent="0.35">
      <c r="B68" s="287"/>
      <c r="C68" s="287"/>
      <c r="F68" s="269" t="str">
        <f>+C62</f>
        <v>Activo por Impuestos Diferidos</v>
      </c>
      <c r="G68" s="269"/>
    </row>
    <row r="69" spans="2:14" x14ac:dyDescent="0.35">
      <c r="E69" s="1" t="s">
        <v>99</v>
      </c>
      <c r="F69" s="110">
        <f>+F62</f>
        <v>6203700</v>
      </c>
    </row>
    <row r="70" spans="2:14" x14ac:dyDescent="0.35">
      <c r="F70" s="46"/>
    </row>
    <row r="71" spans="2:14" ht="13.9" thickBot="1" x14ac:dyDescent="0.4">
      <c r="F71" s="111"/>
      <c r="G71" s="112"/>
    </row>
    <row r="72" spans="2:14" ht="13.9" thickBot="1" x14ac:dyDescent="0.4">
      <c r="F72" s="110">
        <f>SUM(F69:F71)</f>
        <v>6203700</v>
      </c>
      <c r="I72" s="44" t="s">
        <v>3</v>
      </c>
      <c r="J72" s="270" t="s">
        <v>0</v>
      </c>
      <c r="K72" s="271"/>
      <c r="L72" s="272"/>
      <c r="M72" s="45" t="s">
        <v>4</v>
      </c>
      <c r="N72" s="45" t="s">
        <v>5</v>
      </c>
    </row>
    <row r="73" spans="2:14" x14ac:dyDescent="0.35">
      <c r="F73" s="113" t="s">
        <v>104</v>
      </c>
      <c r="G73" s="114">
        <f>+F72</f>
        <v>6203700</v>
      </c>
      <c r="I73" s="103" t="s">
        <v>26</v>
      </c>
      <c r="J73" s="104" t="s">
        <v>2</v>
      </c>
      <c r="K73" s="104">
        <v>1</v>
      </c>
      <c r="L73" s="105" t="s">
        <v>2</v>
      </c>
      <c r="M73" s="106"/>
      <c r="N73" s="106"/>
    </row>
    <row r="74" spans="2:14" ht="13.8" customHeight="1" thickBot="1" x14ac:dyDescent="0.4">
      <c r="I74" s="107" t="s">
        <v>94</v>
      </c>
      <c r="J74" s="273" t="s">
        <v>107</v>
      </c>
      <c r="K74" s="274"/>
      <c r="L74" s="275"/>
      <c r="M74" s="108">
        <f>+G79</f>
        <v>4871053</v>
      </c>
      <c r="N74" s="109"/>
    </row>
    <row r="75" spans="2:14" ht="14.45" customHeight="1" thickBot="1" x14ac:dyDescent="0.4">
      <c r="F75" s="127" t="s">
        <v>105</v>
      </c>
      <c r="G75" s="92" t="s">
        <v>106</v>
      </c>
      <c r="I75" s="119" t="s">
        <v>6</v>
      </c>
      <c r="J75" s="276" t="str">
        <f>+B77</f>
        <v>Amortización Gastos de Organización</v>
      </c>
      <c r="K75" s="277"/>
      <c r="L75" s="278"/>
      <c r="M75" s="120"/>
      <c r="N75" s="121">
        <f>+G79</f>
        <v>4871053</v>
      </c>
    </row>
    <row r="76" spans="2:14" ht="14.45" customHeight="1" thickBot="1" x14ac:dyDescent="0.4">
      <c r="B76" s="90" t="s">
        <v>8</v>
      </c>
      <c r="C76" s="97"/>
      <c r="D76" s="91"/>
      <c r="E76" s="122">
        <f>+E44</f>
        <v>27572000</v>
      </c>
      <c r="F76" s="128">
        <f>+E76*C38</f>
        <v>1654320</v>
      </c>
      <c r="G76" s="125">
        <f>+E76+F76</f>
        <v>29226320</v>
      </c>
      <c r="I76" s="3"/>
      <c r="J76" s="279"/>
      <c r="K76" s="280"/>
      <c r="L76" s="281"/>
      <c r="M76" s="4"/>
      <c r="N76" s="4"/>
    </row>
    <row r="77" spans="2:14" ht="13.9" thickBot="1" x14ac:dyDescent="0.4">
      <c r="B77" s="99" t="s">
        <v>9</v>
      </c>
      <c r="C77" s="100"/>
      <c r="D77" s="100"/>
      <c r="E77" s="123">
        <f>ROUND(+E76/6,0)*-1</f>
        <v>-4595333</v>
      </c>
      <c r="F77" s="128">
        <f>+E77*C38</f>
        <v>-275719.98</v>
      </c>
      <c r="G77" s="126">
        <f>+F77+E77</f>
        <v>-4871052.9800000004</v>
      </c>
      <c r="I77" s="5"/>
      <c r="J77" s="6"/>
      <c r="K77" s="6"/>
      <c r="L77" s="7"/>
      <c r="M77" s="7"/>
      <c r="N77" s="7"/>
    </row>
    <row r="78" spans="2:14" ht="13.9" thickBot="1" x14ac:dyDescent="0.4">
      <c r="B78" s="90" t="s">
        <v>86</v>
      </c>
      <c r="C78" s="97"/>
      <c r="D78" s="91"/>
      <c r="E78" s="124">
        <f>SUM(E76:E77)</f>
        <v>22976667</v>
      </c>
      <c r="F78" s="129"/>
      <c r="G78" s="130">
        <f>SUM(G76:G77)</f>
        <v>24355267.02</v>
      </c>
    </row>
    <row r="79" spans="2:14" ht="13.9" thickBot="1" x14ac:dyDescent="0.4">
      <c r="G79" s="98">
        <f>ROUND(+G78/5,0)</f>
        <v>4871053</v>
      </c>
    </row>
    <row r="80" spans="2:14" ht="13.9" thickBot="1" x14ac:dyDescent="0.4">
      <c r="B80" s="90" t="s">
        <v>8</v>
      </c>
      <c r="C80" s="97"/>
      <c r="D80" s="91"/>
      <c r="E80" s="94">
        <f>+G76</f>
        <v>29226320</v>
      </c>
    </row>
    <row r="81" spans="2:7" ht="13.9" thickBot="1" x14ac:dyDescent="0.4">
      <c r="B81" s="99" t="s">
        <v>9</v>
      </c>
      <c r="C81" s="100"/>
      <c r="D81" s="100"/>
      <c r="E81" s="101">
        <f>+G77-G79</f>
        <v>-9742105.9800000004</v>
      </c>
    </row>
    <row r="82" spans="2:7" ht="13.9" thickBot="1" x14ac:dyDescent="0.4">
      <c r="B82" s="90" t="s">
        <v>86</v>
      </c>
      <c r="C82" s="97"/>
      <c r="D82" s="91"/>
      <c r="E82" s="93">
        <f>SUM(E80:E81)</f>
        <v>19484214.02</v>
      </c>
    </row>
    <row r="84" spans="2:7" ht="13.9" thickBot="1" x14ac:dyDescent="0.4"/>
    <row r="85" spans="2:7" ht="13.9" thickBot="1" x14ac:dyDescent="0.4">
      <c r="B85" s="259" t="s">
        <v>70</v>
      </c>
      <c r="C85" s="260"/>
      <c r="D85" s="260"/>
      <c r="E85" s="260"/>
      <c r="F85" s="260"/>
      <c r="G85" s="261"/>
    </row>
    <row r="86" spans="2:7" ht="13.9" thickBot="1" x14ac:dyDescent="0.4"/>
    <row r="87" spans="2:7" ht="13.9" thickBot="1" x14ac:dyDescent="0.4">
      <c r="B87" s="43">
        <v>2023</v>
      </c>
    </row>
    <row r="88" spans="2:7" ht="13.9" thickBot="1" x14ac:dyDescent="0.4"/>
    <row r="89" spans="2:7" ht="13.9" thickBot="1" x14ac:dyDescent="0.4">
      <c r="F89" s="282">
        <v>0.27</v>
      </c>
      <c r="G89" s="283"/>
    </row>
    <row r="90" spans="2:7" ht="13.9" thickBot="1" x14ac:dyDescent="0.4">
      <c r="B90" s="43" t="s">
        <v>0</v>
      </c>
      <c r="C90" s="43" t="s">
        <v>1</v>
      </c>
      <c r="D90" s="43" t="s">
        <v>11</v>
      </c>
      <c r="E90" s="43" t="s">
        <v>12</v>
      </c>
      <c r="F90" s="43" t="s">
        <v>13</v>
      </c>
      <c r="G90" s="43" t="s">
        <v>6</v>
      </c>
    </row>
    <row r="91" spans="2:7" ht="6.6" customHeight="1" x14ac:dyDescent="0.35">
      <c r="B91" s="18"/>
      <c r="C91" s="18"/>
      <c r="D91" s="18"/>
      <c r="E91" s="20"/>
      <c r="F91" s="20"/>
      <c r="G91" s="20"/>
    </row>
    <row r="92" spans="2:7" x14ac:dyDescent="0.35">
      <c r="B92" s="18" t="str">
        <f>+B80</f>
        <v>Gastos de Organización y Puesta en Marcha</v>
      </c>
      <c r="C92" s="18">
        <v>0</v>
      </c>
      <c r="D92" s="21">
        <f>+E82</f>
        <v>19484214.02</v>
      </c>
      <c r="E92" s="20">
        <f>+D92</f>
        <v>19484214.02</v>
      </c>
      <c r="F92" s="20">
        <f>ROUND(+E92*F89,0)</f>
        <v>5260738</v>
      </c>
      <c r="G92" s="20"/>
    </row>
    <row r="93" spans="2:7" ht="3" customHeight="1" thickBot="1" x14ac:dyDescent="0.4">
      <c r="B93" s="18"/>
      <c r="C93" s="18"/>
      <c r="D93" s="18"/>
      <c r="E93" s="20"/>
      <c r="F93" s="20"/>
      <c r="G93" s="20"/>
    </row>
    <row r="94" spans="2:7" ht="16.8" customHeight="1" thickBot="1" x14ac:dyDescent="0.4">
      <c r="B94" s="17"/>
      <c r="C94" s="17"/>
      <c r="D94" s="17"/>
      <c r="E94" s="19"/>
      <c r="F94" s="102">
        <f>SUM(F92:F93)</f>
        <v>5260738</v>
      </c>
      <c r="G94" s="19"/>
    </row>
    <row r="95" spans="2:7" ht="13.9" thickBot="1" x14ac:dyDescent="0.4"/>
    <row r="96" spans="2:7" ht="13.9" thickBot="1" x14ac:dyDescent="0.4">
      <c r="B96" s="44" t="s">
        <v>3</v>
      </c>
      <c r="C96" s="270" t="s">
        <v>0</v>
      </c>
      <c r="D96" s="271"/>
      <c r="E96" s="272"/>
      <c r="F96" s="45" t="s">
        <v>4</v>
      </c>
      <c r="G96" s="45" t="s">
        <v>5</v>
      </c>
    </row>
    <row r="97" spans="1:8" x14ac:dyDescent="0.35">
      <c r="B97" s="103" t="s">
        <v>99</v>
      </c>
      <c r="C97" s="104" t="s">
        <v>2</v>
      </c>
      <c r="D97" s="104">
        <v>2</v>
      </c>
      <c r="E97" s="105" t="s">
        <v>2</v>
      </c>
      <c r="F97" s="106"/>
      <c r="G97" s="106"/>
    </row>
    <row r="98" spans="1:8" x14ac:dyDescent="0.35">
      <c r="B98" s="107" t="s">
        <v>100</v>
      </c>
      <c r="C98" s="273" t="s">
        <v>102</v>
      </c>
      <c r="D98" s="274"/>
      <c r="E98" s="275"/>
      <c r="F98" s="108">
        <f>+C109-F94</f>
        <v>942962</v>
      </c>
      <c r="G98" s="109"/>
    </row>
    <row r="99" spans="1:8" x14ac:dyDescent="0.35">
      <c r="B99" s="107" t="s">
        <v>13</v>
      </c>
      <c r="C99" s="284" t="s">
        <v>101</v>
      </c>
      <c r="D99" s="285"/>
      <c r="E99" s="286"/>
      <c r="F99" s="109"/>
      <c r="G99" s="108">
        <f>+F98</f>
        <v>942962</v>
      </c>
    </row>
    <row r="100" spans="1:8" x14ac:dyDescent="0.35">
      <c r="B100" s="3"/>
      <c r="C100" s="279"/>
      <c r="D100" s="280"/>
      <c r="E100" s="281"/>
      <c r="F100" s="4"/>
      <c r="G100" s="4"/>
    </row>
    <row r="101" spans="1:8" ht="6.6" customHeight="1" thickBot="1" x14ac:dyDescent="0.4">
      <c r="B101" s="5"/>
      <c r="C101" s="6"/>
      <c r="D101" s="6"/>
      <c r="E101" s="7"/>
      <c r="F101" s="7"/>
      <c r="G101" s="7"/>
    </row>
    <row r="103" spans="1:8" ht="13.9" thickBot="1" x14ac:dyDescent="0.4"/>
    <row r="104" spans="1:8" x14ac:dyDescent="0.35">
      <c r="A104" s="86"/>
      <c r="B104" s="267" t="str">
        <f>+F68</f>
        <v>Activo por Impuestos Diferidos</v>
      </c>
      <c r="C104" s="268"/>
      <c r="F104" s="269" t="str">
        <f>+B104</f>
        <v>Activo por Impuestos Diferidos</v>
      </c>
      <c r="G104" s="269"/>
    </row>
    <row r="105" spans="1:8" x14ac:dyDescent="0.35">
      <c r="A105" s="87" t="s">
        <v>99</v>
      </c>
      <c r="B105" s="110">
        <f>+F69</f>
        <v>6203700</v>
      </c>
      <c r="C105" s="88"/>
      <c r="E105" s="1" t="s">
        <v>99</v>
      </c>
      <c r="F105" s="110">
        <f>+B105</f>
        <v>6203700</v>
      </c>
      <c r="G105" s="84">
        <f>+G99</f>
        <v>942962</v>
      </c>
      <c r="H105" s="1" t="s">
        <v>26</v>
      </c>
    </row>
    <row r="106" spans="1:8" x14ac:dyDescent="0.35">
      <c r="A106" s="87"/>
      <c r="B106" s="46"/>
      <c r="C106" s="88"/>
      <c r="F106" s="46"/>
    </row>
    <row r="107" spans="1:8" x14ac:dyDescent="0.35">
      <c r="A107" s="87"/>
      <c r="B107" s="111"/>
      <c r="C107" s="131"/>
      <c r="F107" s="111"/>
      <c r="G107" s="112"/>
    </row>
    <row r="108" spans="1:8" x14ac:dyDescent="0.35">
      <c r="A108" s="87"/>
      <c r="B108" s="110">
        <f>SUM(B105:B107)</f>
        <v>6203700</v>
      </c>
      <c r="C108" s="88"/>
      <c r="F108" s="110">
        <f>SUM(F105:F107)</f>
        <v>6203700</v>
      </c>
      <c r="G108" s="84">
        <f>SUM(G105:G107)</f>
        <v>942962</v>
      </c>
    </row>
    <row r="109" spans="1:8" ht="13.9" thickBot="1" x14ac:dyDescent="0.4">
      <c r="A109" s="89"/>
      <c r="B109" s="132" t="s">
        <v>104</v>
      </c>
      <c r="C109" s="133">
        <f>+B108</f>
        <v>6203700</v>
      </c>
      <c r="F109" s="113" t="s">
        <v>104</v>
      </c>
      <c r="G109" s="114">
        <f>+F108-G108</f>
        <v>5260738</v>
      </c>
    </row>
    <row r="111" spans="1:8" ht="13.9" thickBot="1" x14ac:dyDescent="0.4"/>
    <row r="112" spans="1:8" ht="13.9" thickBot="1" x14ac:dyDescent="0.4">
      <c r="F112" s="25" t="s">
        <v>105</v>
      </c>
      <c r="G112" s="92" t="s">
        <v>98</v>
      </c>
    </row>
    <row r="113" spans="2:7" ht="13.9" thickBot="1" x14ac:dyDescent="0.4">
      <c r="B113" s="90" t="s">
        <v>8</v>
      </c>
      <c r="C113" s="97"/>
      <c r="D113" s="91"/>
      <c r="E113" s="94">
        <f>+E80</f>
        <v>29226320</v>
      </c>
      <c r="F113" s="49">
        <f>ROUND(+E113*C39,0)</f>
        <v>876790</v>
      </c>
      <c r="G113" s="21">
        <f>+E113+F113</f>
        <v>30103110</v>
      </c>
    </row>
    <row r="114" spans="2:7" ht="13.9" thickBot="1" x14ac:dyDescent="0.4">
      <c r="B114" s="99" t="s">
        <v>9</v>
      </c>
      <c r="C114" s="100"/>
      <c r="D114" s="100"/>
      <c r="E114" s="101">
        <f>+E81</f>
        <v>-9742105.9800000004</v>
      </c>
      <c r="F114" s="49">
        <f>+E114*0.03</f>
        <v>-292263.17940000002</v>
      </c>
      <c r="G114" s="118">
        <f>+E114+F114</f>
        <v>-10034369.159400001</v>
      </c>
    </row>
    <row r="115" spans="2:7" ht="13.9" thickBot="1" x14ac:dyDescent="0.4">
      <c r="B115" s="90" t="s">
        <v>86</v>
      </c>
      <c r="C115" s="97"/>
      <c r="D115" s="91"/>
      <c r="E115" s="93">
        <f>SUM(E113:E114)</f>
        <v>19484214.02</v>
      </c>
      <c r="G115" s="93">
        <f>SUM(G113:G114)</f>
        <v>20068740.840599999</v>
      </c>
    </row>
    <row r="116" spans="2:7" x14ac:dyDescent="0.35">
      <c r="G116" s="98">
        <f>ROUND(+G115/4,0)</f>
        <v>5017185</v>
      </c>
    </row>
    <row r="117" spans="2:7" ht="13.9" thickBot="1" x14ac:dyDescent="0.4"/>
    <row r="118" spans="2:7" ht="13.9" thickBot="1" x14ac:dyDescent="0.4">
      <c r="B118" s="90" t="s">
        <v>8</v>
      </c>
      <c r="C118" s="97"/>
      <c r="D118" s="91"/>
      <c r="E118" s="94">
        <f>+G113</f>
        <v>30103110</v>
      </c>
    </row>
    <row r="119" spans="2:7" ht="13.9" thickBot="1" x14ac:dyDescent="0.4">
      <c r="B119" s="99" t="s">
        <v>9</v>
      </c>
      <c r="C119" s="100"/>
      <c r="D119" s="100"/>
      <c r="E119" s="101">
        <f>+G114-G116</f>
        <v>-15051554.159400001</v>
      </c>
    </row>
    <row r="120" spans="2:7" ht="13.9" thickBot="1" x14ac:dyDescent="0.4">
      <c r="B120" s="90" t="s">
        <v>86</v>
      </c>
      <c r="C120" s="97"/>
      <c r="D120" s="91"/>
      <c r="E120" s="93">
        <f>SUM(E118:E119)</f>
        <v>15051555.840599999</v>
      </c>
    </row>
    <row r="122" spans="2:7" ht="13.9" thickBot="1" x14ac:dyDescent="0.4"/>
    <row r="123" spans="2:7" ht="13.9" thickBot="1" x14ac:dyDescent="0.4">
      <c r="B123" s="259" t="s">
        <v>70</v>
      </c>
      <c r="C123" s="260"/>
      <c r="D123" s="260"/>
      <c r="E123" s="260"/>
      <c r="F123" s="260"/>
      <c r="G123" s="261"/>
    </row>
    <row r="124" spans="2:7" ht="13.9" thickBot="1" x14ac:dyDescent="0.4"/>
    <row r="125" spans="2:7" ht="13.9" thickBot="1" x14ac:dyDescent="0.4">
      <c r="B125" s="43">
        <v>2024</v>
      </c>
    </row>
    <row r="126" spans="2:7" ht="13.9" thickBot="1" x14ac:dyDescent="0.4"/>
    <row r="127" spans="2:7" ht="13.9" thickBot="1" x14ac:dyDescent="0.4">
      <c r="F127" s="282">
        <v>0.27</v>
      </c>
      <c r="G127" s="283"/>
    </row>
    <row r="128" spans="2:7" ht="13.9" thickBot="1" x14ac:dyDescent="0.4">
      <c r="B128" s="43" t="s">
        <v>0</v>
      </c>
      <c r="C128" s="43" t="s">
        <v>1</v>
      </c>
      <c r="D128" s="43" t="s">
        <v>11</v>
      </c>
      <c r="E128" s="43" t="s">
        <v>12</v>
      </c>
      <c r="F128" s="43" t="s">
        <v>13</v>
      </c>
      <c r="G128" s="43" t="s">
        <v>6</v>
      </c>
    </row>
    <row r="129" spans="1:8" ht="6.6" customHeight="1" x14ac:dyDescent="0.35">
      <c r="B129" s="18"/>
      <c r="C129" s="18"/>
      <c r="D129" s="18"/>
      <c r="E129" s="20"/>
      <c r="F129" s="20"/>
      <c r="G129" s="20"/>
    </row>
    <row r="130" spans="1:8" x14ac:dyDescent="0.35">
      <c r="B130" s="18" t="str">
        <f>+B118</f>
        <v>Gastos de Organización y Puesta en Marcha</v>
      </c>
      <c r="C130" s="18">
        <v>0</v>
      </c>
      <c r="D130" s="21">
        <f>+E120</f>
        <v>15051555.840599999</v>
      </c>
      <c r="E130" s="20">
        <f>+D130</f>
        <v>15051555.840599999</v>
      </c>
      <c r="F130" s="20">
        <f>ROUND(+E130*F127,0)</f>
        <v>4063920</v>
      </c>
      <c r="G130" s="20"/>
    </row>
    <row r="131" spans="1:8" ht="3" customHeight="1" thickBot="1" x14ac:dyDescent="0.4">
      <c r="B131" s="18"/>
      <c r="C131" s="18"/>
      <c r="D131" s="18"/>
      <c r="E131" s="20"/>
      <c r="F131" s="20"/>
      <c r="G131" s="20"/>
    </row>
    <row r="132" spans="1:8" ht="16.8" customHeight="1" thickBot="1" x14ac:dyDescent="0.4">
      <c r="B132" s="17"/>
      <c r="C132" s="17"/>
      <c r="D132" s="17"/>
      <c r="E132" s="19"/>
      <c r="F132" s="102">
        <f>SUM(F130:F131)</f>
        <v>4063920</v>
      </c>
      <c r="G132" s="19"/>
    </row>
    <row r="133" spans="1:8" ht="13.9" thickBot="1" x14ac:dyDescent="0.4"/>
    <row r="134" spans="1:8" ht="13.9" thickBot="1" x14ac:dyDescent="0.4">
      <c r="B134" s="44" t="s">
        <v>3</v>
      </c>
      <c r="C134" s="270" t="s">
        <v>0</v>
      </c>
      <c r="D134" s="271"/>
      <c r="E134" s="272"/>
      <c r="F134" s="45" t="s">
        <v>4</v>
      </c>
      <c r="G134" s="45" t="s">
        <v>5</v>
      </c>
    </row>
    <row r="135" spans="1:8" x14ac:dyDescent="0.35">
      <c r="B135" s="103" t="s">
        <v>99</v>
      </c>
      <c r="C135" s="104" t="s">
        <v>2</v>
      </c>
      <c r="D135" s="104">
        <v>3</v>
      </c>
      <c r="E135" s="105" t="s">
        <v>2</v>
      </c>
      <c r="F135" s="106"/>
      <c r="G135" s="106"/>
    </row>
    <row r="136" spans="1:8" x14ac:dyDescent="0.35">
      <c r="B136" s="107" t="s">
        <v>100</v>
      </c>
      <c r="C136" s="273" t="s">
        <v>102</v>
      </c>
      <c r="D136" s="274"/>
      <c r="E136" s="275"/>
      <c r="F136" s="108">
        <f>+C147-F132</f>
        <v>1196818</v>
      </c>
      <c r="G136" s="109"/>
    </row>
    <row r="137" spans="1:8" x14ac:dyDescent="0.35">
      <c r="B137" s="107" t="s">
        <v>13</v>
      </c>
      <c r="C137" s="284" t="s">
        <v>101</v>
      </c>
      <c r="D137" s="285"/>
      <c r="E137" s="286"/>
      <c r="F137" s="109"/>
      <c r="G137" s="108">
        <f>+F136</f>
        <v>1196818</v>
      </c>
    </row>
    <row r="138" spans="1:8" x14ac:dyDescent="0.35">
      <c r="B138" s="3"/>
      <c r="C138" s="279"/>
      <c r="D138" s="280"/>
      <c r="E138" s="281"/>
      <c r="F138" s="4"/>
      <c r="G138" s="4"/>
    </row>
    <row r="139" spans="1:8" ht="6.6" customHeight="1" thickBot="1" x14ac:dyDescent="0.4">
      <c r="B139" s="5"/>
      <c r="C139" s="6"/>
      <c r="D139" s="6"/>
      <c r="E139" s="7"/>
      <c r="F139" s="7"/>
      <c r="G139" s="7"/>
    </row>
    <row r="141" spans="1:8" ht="13.9" thickBot="1" x14ac:dyDescent="0.4"/>
    <row r="142" spans="1:8" x14ac:dyDescent="0.35">
      <c r="A142" s="86"/>
      <c r="B142" s="267" t="str">
        <f>+F104</f>
        <v>Activo por Impuestos Diferidos</v>
      </c>
      <c r="C142" s="268"/>
      <c r="F142" s="269" t="str">
        <f>+B142</f>
        <v>Activo por Impuestos Diferidos</v>
      </c>
      <c r="G142" s="269"/>
    </row>
    <row r="143" spans="1:8" x14ac:dyDescent="0.35">
      <c r="A143" s="87" t="str">
        <f>+E105</f>
        <v>31.12.2022</v>
      </c>
      <c r="B143" s="110">
        <f>+F105</f>
        <v>6203700</v>
      </c>
      <c r="C143" s="136">
        <f>+G105</f>
        <v>942962</v>
      </c>
      <c r="D143" s="1" t="str">
        <f>+H105</f>
        <v>31.12.2023</v>
      </c>
      <c r="E143" s="1" t="str">
        <f>+A143</f>
        <v>31.12.2022</v>
      </c>
      <c r="F143" s="110">
        <f>+B143</f>
        <v>6203700</v>
      </c>
      <c r="G143" s="84">
        <f>+C143</f>
        <v>942962</v>
      </c>
      <c r="H143" s="1" t="str">
        <f>+D143</f>
        <v>31.12.2023</v>
      </c>
    </row>
    <row r="144" spans="1:8" x14ac:dyDescent="0.35">
      <c r="A144" s="87"/>
      <c r="B144" s="46"/>
      <c r="C144" s="88"/>
      <c r="F144" s="46"/>
      <c r="G144" s="84">
        <f>+G137</f>
        <v>1196818</v>
      </c>
      <c r="H144" s="1" t="s">
        <v>108</v>
      </c>
    </row>
    <row r="145" spans="1:7" x14ac:dyDescent="0.35">
      <c r="A145" s="87"/>
      <c r="B145" s="111"/>
      <c r="C145" s="131"/>
      <c r="F145" s="111"/>
      <c r="G145" s="112"/>
    </row>
    <row r="146" spans="1:7" x14ac:dyDescent="0.35">
      <c r="A146" s="87"/>
      <c r="B146" s="110">
        <f>SUM(B143:B145)</f>
        <v>6203700</v>
      </c>
      <c r="C146" s="136">
        <f>SUM(C143:C145)</f>
        <v>942962</v>
      </c>
      <c r="F146" s="110">
        <f>SUM(F143:F145)</f>
        <v>6203700</v>
      </c>
      <c r="G146" s="84">
        <f>SUM(G143:G145)</f>
        <v>2139780</v>
      </c>
    </row>
    <row r="147" spans="1:7" ht="13.9" thickBot="1" x14ac:dyDescent="0.4">
      <c r="A147" s="89"/>
      <c r="B147" s="132" t="s">
        <v>104</v>
      </c>
      <c r="C147" s="133">
        <f>+B146-C146</f>
        <v>5260738</v>
      </c>
      <c r="F147" s="113" t="s">
        <v>104</v>
      </c>
      <c r="G147" s="114">
        <f>+F146-G146</f>
        <v>4063920</v>
      </c>
    </row>
    <row r="151" spans="1:7" ht="13.9" thickBot="1" x14ac:dyDescent="0.4">
      <c r="F151" s="25" t="s">
        <v>105</v>
      </c>
      <c r="G151" s="1" t="s">
        <v>98</v>
      </c>
    </row>
    <row r="152" spans="1:7" ht="13.9" thickBot="1" x14ac:dyDescent="0.4">
      <c r="B152" s="90" t="s">
        <v>8</v>
      </c>
      <c r="C152" s="97"/>
      <c r="D152" s="91"/>
      <c r="E152" s="94">
        <f>+E118</f>
        <v>30103110</v>
      </c>
      <c r="F152" s="49">
        <f>ROUND(+E152*0.023,0)</f>
        <v>692372</v>
      </c>
      <c r="G152" s="26">
        <f>+E152+F152</f>
        <v>30795482</v>
      </c>
    </row>
    <row r="153" spans="1:7" ht="13.9" thickBot="1" x14ac:dyDescent="0.4">
      <c r="B153" s="99" t="s">
        <v>9</v>
      </c>
      <c r="C153" s="100"/>
      <c r="D153" s="100"/>
      <c r="E153" s="101">
        <f>+E119</f>
        <v>-15051554.159400001</v>
      </c>
      <c r="F153" s="49">
        <f>ROUND(+E153*0.023,0)</f>
        <v>-346186</v>
      </c>
      <c r="G153" s="26">
        <f>+E153+F153</f>
        <v>-15397740.159400001</v>
      </c>
    </row>
    <row r="154" spans="1:7" ht="13.9" thickBot="1" x14ac:dyDescent="0.4">
      <c r="B154" s="90" t="s">
        <v>86</v>
      </c>
      <c r="C154" s="97"/>
      <c r="D154" s="91"/>
      <c r="E154" s="93">
        <f>SUM(E152:E153)</f>
        <v>15051555.840599999</v>
      </c>
      <c r="G154" s="93">
        <f>SUM(G152:G153)</f>
        <v>15397741.840599999</v>
      </c>
    </row>
    <row r="155" spans="1:7" x14ac:dyDescent="0.35">
      <c r="E155" s="26"/>
      <c r="G155" s="139">
        <f>ROUND(+G154/3,0)</f>
        <v>5132581</v>
      </c>
    </row>
    <row r="156" spans="1:7" ht="13.9" thickBot="1" x14ac:dyDescent="0.4">
      <c r="E156" s="26"/>
      <c r="G156" s="26"/>
    </row>
    <row r="157" spans="1:7" ht="13.9" thickBot="1" x14ac:dyDescent="0.4">
      <c r="B157" s="90" t="s">
        <v>8</v>
      </c>
      <c r="C157" s="97"/>
      <c r="D157" s="91"/>
      <c r="E157" s="94">
        <f>+G152</f>
        <v>30795482</v>
      </c>
      <c r="G157" s="26"/>
    </row>
    <row r="158" spans="1:7" ht="13.9" thickBot="1" x14ac:dyDescent="0.4">
      <c r="B158" s="99" t="s">
        <v>9</v>
      </c>
      <c r="C158" s="100"/>
      <c r="D158" s="100"/>
      <c r="E158" s="101">
        <f>+G153-G155</f>
        <v>-20530321.159400001</v>
      </c>
      <c r="G158" s="26"/>
    </row>
    <row r="159" spans="1:7" ht="13.9" thickBot="1" x14ac:dyDescent="0.4">
      <c r="B159" s="90" t="s">
        <v>86</v>
      </c>
      <c r="C159" s="97"/>
      <c r="D159" s="91"/>
      <c r="E159" s="93">
        <f>SUM(E157:E158)</f>
        <v>10265160.840599999</v>
      </c>
      <c r="G159" s="26"/>
    </row>
    <row r="160" spans="1:7" ht="13.9" thickBot="1" x14ac:dyDescent="0.4"/>
    <row r="161" spans="2:7" ht="13.9" thickBot="1" x14ac:dyDescent="0.4">
      <c r="B161" s="259" t="s">
        <v>70</v>
      </c>
      <c r="C161" s="260"/>
      <c r="D161" s="260"/>
      <c r="E161" s="260"/>
      <c r="F161" s="260"/>
      <c r="G161" s="261"/>
    </row>
    <row r="162" spans="2:7" ht="13.9" thickBot="1" x14ac:dyDescent="0.4"/>
    <row r="163" spans="2:7" ht="13.9" thickBot="1" x14ac:dyDescent="0.4">
      <c r="B163" s="43">
        <v>2025</v>
      </c>
    </row>
    <row r="164" spans="2:7" ht="13.9" thickBot="1" x14ac:dyDescent="0.4"/>
    <row r="165" spans="2:7" ht="13.9" thickBot="1" x14ac:dyDescent="0.4">
      <c r="F165" s="282">
        <v>0.27</v>
      </c>
      <c r="G165" s="283"/>
    </row>
    <row r="166" spans="2:7" ht="13.9" thickBot="1" x14ac:dyDescent="0.4">
      <c r="B166" s="43" t="s">
        <v>0</v>
      </c>
      <c r="C166" s="43" t="s">
        <v>1</v>
      </c>
      <c r="D166" s="43" t="s">
        <v>11</v>
      </c>
      <c r="E166" s="43" t="s">
        <v>12</v>
      </c>
      <c r="F166" s="43" t="s">
        <v>13</v>
      </c>
      <c r="G166" s="43" t="s">
        <v>6</v>
      </c>
    </row>
    <row r="167" spans="2:7" ht="6.6" customHeight="1" x14ac:dyDescent="0.35">
      <c r="B167" s="18"/>
      <c r="C167" s="18"/>
      <c r="D167" s="18"/>
      <c r="E167" s="20"/>
      <c r="F167" s="20"/>
      <c r="G167" s="20"/>
    </row>
    <row r="168" spans="2:7" x14ac:dyDescent="0.35">
      <c r="B168" s="18" t="str">
        <f>+B152</f>
        <v>Gastos de Organización y Puesta en Marcha</v>
      </c>
      <c r="C168" s="18">
        <v>0</v>
      </c>
      <c r="D168" s="21">
        <f>+E159</f>
        <v>10265160.840599999</v>
      </c>
      <c r="E168" s="20">
        <f>+D168</f>
        <v>10265160.840599999</v>
      </c>
      <c r="F168" s="20">
        <f>ROUND(+E168*F165,0)</f>
        <v>2771593</v>
      </c>
      <c r="G168" s="20"/>
    </row>
    <row r="169" spans="2:7" ht="3" customHeight="1" thickBot="1" x14ac:dyDescent="0.4">
      <c r="B169" s="18"/>
      <c r="C169" s="18"/>
      <c r="D169" s="18"/>
      <c r="E169" s="20"/>
      <c r="F169" s="20"/>
      <c r="G169" s="20"/>
    </row>
    <row r="170" spans="2:7" ht="16.8" customHeight="1" thickBot="1" x14ac:dyDescent="0.4">
      <c r="B170" s="17"/>
      <c r="C170" s="17"/>
      <c r="D170" s="17"/>
      <c r="E170" s="19"/>
      <c r="F170" s="102">
        <f>SUM(F168:F169)</f>
        <v>2771593</v>
      </c>
      <c r="G170" s="19"/>
    </row>
    <row r="171" spans="2:7" ht="13.9" thickBot="1" x14ac:dyDescent="0.4"/>
    <row r="172" spans="2:7" ht="13.9" thickBot="1" x14ac:dyDescent="0.4">
      <c r="B172" s="44" t="s">
        <v>3</v>
      </c>
      <c r="C172" s="270" t="s">
        <v>0</v>
      </c>
      <c r="D172" s="271"/>
      <c r="E172" s="272"/>
      <c r="F172" s="45" t="s">
        <v>4</v>
      </c>
      <c r="G172" s="45" t="s">
        <v>5</v>
      </c>
    </row>
    <row r="173" spans="2:7" x14ac:dyDescent="0.35">
      <c r="B173" s="103" t="s">
        <v>99</v>
      </c>
      <c r="C173" s="104" t="s">
        <v>2</v>
      </c>
      <c r="D173" s="104">
        <v>4</v>
      </c>
      <c r="E173" s="105" t="s">
        <v>2</v>
      </c>
      <c r="F173" s="106"/>
      <c r="G173" s="106"/>
    </row>
    <row r="174" spans="2:7" x14ac:dyDescent="0.35">
      <c r="B174" s="107" t="s">
        <v>100</v>
      </c>
      <c r="C174" s="273" t="s">
        <v>102</v>
      </c>
      <c r="D174" s="274"/>
      <c r="E174" s="275"/>
      <c r="F174" s="108">
        <f>+C186-F170</f>
        <v>1292327</v>
      </c>
      <c r="G174" s="109"/>
    </row>
    <row r="175" spans="2:7" x14ac:dyDescent="0.35">
      <c r="B175" s="107" t="s">
        <v>13</v>
      </c>
      <c r="C175" s="284" t="s">
        <v>101</v>
      </c>
      <c r="D175" s="285"/>
      <c r="E175" s="286"/>
      <c r="F175" s="109"/>
      <c r="G175" s="108">
        <f>+F174</f>
        <v>1292327</v>
      </c>
    </row>
    <row r="176" spans="2:7" x14ac:dyDescent="0.35">
      <c r="B176" s="3"/>
      <c r="C176" s="279"/>
      <c r="D176" s="280"/>
      <c r="E176" s="281"/>
      <c r="F176" s="4"/>
      <c r="G176" s="4"/>
    </row>
    <row r="177" spans="1:8" ht="6.6" customHeight="1" thickBot="1" x14ac:dyDescent="0.4">
      <c r="B177" s="5"/>
      <c r="C177" s="6"/>
      <c r="D177" s="6"/>
      <c r="E177" s="7"/>
      <c r="F177" s="7"/>
      <c r="G177" s="7"/>
    </row>
    <row r="179" spans="1:8" ht="13.9" thickBot="1" x14ac:dyDescent="0.4"/>
    <row r="180" spans="1:8" x14ac:dyDescent="0.35">
      <c r="A180" s="86"/>
      <c r="B180" s="267" t="str">
        <f>+F142</f>
        <v>Activo por Impuestos Diferidos</v>
      </c>
      <c r="C180" s="268"/>
      <c r="F180" s="269" t="str">
        <f>+B180</f>
        <v>Activo por Impuestos Diferidos</v>
      </c>
      <c r="G180" s="269"/>
    </row>
    <row r="181" spans="1:8" x14ac:dyDescent="0.35">
      <c r="A181" s="87" t="str">
        <f>+E143</f>
        <v>31.12.2022</v>
      </c>
      <c r="B181" s="110">
        <f>+F143</f>
        <v>6203700</v>
      </c>
      <c r="C181" s="136">
        <f>+G143</f>
        <v>942962</v>
      </c>
      <c r="D181" s="1" t="str">
        <f>+H143</f>
        <v>31.12.2023</v>
      </c>
      <c r="E181" s="1" t="str">
        <f>+A181</f>
        <v>31.12.2022</v>
      </c>
      <c r="F181" s="110">
        <f>+B181</f>
        <v>6203700</v>
      </c>
      <c r="G181" s="84">
        <f>+C181</f>
        <v>942962</v>
      </c>
      <c r="H181" s="1" t="str">
        <f>+D181</f>
        <v>31.12.2023</v>
      </c>
    </row>
    <row r="182" spans="1:8" x14ac:dyDescent="0.35">
      <c r="A182" s="87"/>
      <c r="B182" s="46"/>
      <c r="C182" s="136">
        <f>+G144</f>
        <v>1196818</v>
      </c>
      <c r="D182" s="1" t="str">
        <f>+H144</f>
        <v>31.12.2024</v>
      </c>
      <c r="F182" s="46"/>
      <c r="G182" s="84">
        <f>+C182</f>
        <v>1196818</v>
      </c>
      <c r="H182" s="1" t="s">
        <v>108</v>
      </c>
    </row>
    <row r="183" spans="1:8" x14ac:dyDescent="0.35">
      <c r="A183" s="87"/>
      <c r="B183" s="46"/>
      <c r="C183" s="88"/>
      <c r="F183" s="46"/>
      <c r="G183" s="84">
        <f>+G175</f>
        <v>1292327</v>
      </c>
      <c r="H183" s="1" t="s">
        <v>109</v>
      </c>
    </row>
    <row r="184" spans="1:8" x14ac:dyDescent="0.35">
      <c r="A184" s="87"/>
      <c r="B184" s="111"/>
      <c r="C184" s="131"/>
      <c r="F184" s="111"/>
      <c r="G184" s="140"/>
    </row>
    <row r="185" spans="1:8" x14ac:dyDescent="0.35">
      <c r="A185" s="87"/>
      <c r="B185" s="141">
        <f>SUM(B181:B183)</f>
        <v>6203700</v>
      </c>
      <c r="C185" s="136">
        <f>SUM(C181:C183)</f>
        <v>2139780</v>
      </c>
      <c r="F185" s="141">
        <f>SUM(F181:F183)</f>
        <v>6203700</v>
      </c>
      <c r="G185" s="84">
        <f>SUM(G181:G183)</f>
        <v>3432107</v>
      </c>
    </row>
    <row r="186" spans="1:8" ht="13.9" thickBot="1" x14ac:dyDescent="0.4">
      <c r="A186" s="89"/>
      <c r="B186" s="132" t="s">
        <v>104</v>
      </c>
      <c r="C186" s="133">
        <f>+B185-C185</f>
        <v>4063920</v>
      </c>
      <c r="F186" s="113" t="s">
        <v>104</v>
      </c>
      <c r="G186" s="114">
        <f>+F185-G185</f>
        <v>2771593</v>
      </c>
    </row>
    <row r="188" spans="1:8" ht="13.9" thickBot="1" x14ac:dyDescent="0.4"/>
    <row r="189" spans="1:8" ht="13.9" thickBot="1" x14ac:dyDescent="0.4">
      <c r="F189" s="25" t="s">
        <v>105</v>
      </c>
      <c r="G189" s="17" t="s">
        <v>98</v>
      </c>
    </row>
    <row r="190" spans="1:8" ht="13.9" thickBot="1" x14ac:dyDescent="0.4">
      <c r="B190" s="90" t="s">
        <v>8</v>
      </c>
      <c r="C190" s="97"/>
      <c r="D190" s="91"/>
      <c r="E190" s="94">
        <f>+E157</f>
        <v>30795482</v>
      </c>
      <c r="F190" s="49">
        <f>ROUND(+E190*0.031,0)</f>
        <v>954660</v>
      </c>
      <c r="G190" s="117">
        <f>+E190+F190</f>
        <v>31750142</v>
      </c>
    </row>
    <row r="191" spans="1:8" ht="13.9" thickBot="1" x14ac:dyDescent="0.4">
      <c r="B191" s="99" t="s">
        <v>9</v>
      </c>
      <c r="C191" s="100"/>
      <c r="D191" s="100"/>
      <c r="E191" s="101">
        <f>+E158</f>
        <v>-20530321.159400001</v>
      </c>
      <c r="F191" s="49">
        <f>ROUND(+E191*0.031,0)</f>
        <v>-636440</v>
      </c>
      <c r="G191" s="118">
        <f>+E191+F191</f>
        <v>-21166761.159400001</v>
      </c>
    </row>
    <row r="192" spans="1:8" ht="13.9" thickBot="1" x14ac:dyDescent="0.4">
      <c r="B192" s="90" t="s">
        <v>86</v>
      </c>
      <c r="C192" s="97"/>
      <c r="D192" s="91"/>
      <c r="E192" s="93">
        <f>SUM(E190:E191)</f>
        <v>10265160.840599999</v>
      </c>
      <c r="G192" s="118">
        <f>SUM(G190:G191)</f>
        <v>10583380.840599999</v>
      </c>
    </row>
    <row r="193" spans="2:7" x14ac:dyDescent="0.35">
      <c r="G193" s="98">
        <f>ROUND(+G192/2,0)</f>
        <v>5291690</v>
      </c>
    </row>
    <row r="194" spans="2:7" ht="13.9" thickBot="1" x14ac:dyDescent="0.4"/>
    <row r="195" spans="2:7" ht="13.9" thickBot="1" x14ac:dyDescent="0.4">
      <c r="B195" s="90" t="s">
        <v>8</v>
      </c>
      <c r="C195" s="97"/>
      <c r="D195" s="91"/>
      <c r="E195" s="94">
        <f>+G190</f>
        <v>31750142</v>
      </c>
    </row>
    <row r="196" spans="2:7" ht="13.9" thickBot="1" x14ac:dyDescent="0.4">
      <c r="B196" s="99" t="s">
        <v>9</v>
      </c>
      <c r="C196" s="100"/>
      <c r="D196" s="100"/>
      <c r="E196" s="101">
        <f>+G191-G193</f>
        <v>-26458451.159400001</v>
      </c>
    </row>
    <row r="197" spans="2:7" ht="13.9" thickBot="1" x14ac:dyDescent="0.4">
      <c r="B197" s="90" t="s">
        <v>86</v>
      </c>
      <c r="C197" s="97"/>
      <c r="D197" s="91"/>
      <c r="E197" s="93">
        <f>SUM(E195:E196)</f>
        <v>5291690.8405999988</v>
      </c>
    </row>
    <row r="199" spans="2:7" ht="13.9" thickBot="1" x14ac:dyDescent="0.4"/>
    <row r="200" spans="2:7" ht="13.9" thickBot="1" x14ac:dyDescent="0.4">
      <c r="B200" s="259" t="s">
        <v>70</v>
      </c>
      <c r="C200" s="260"/>
      <c r="D200" s="260"/>
      <c r="E200" s="260"/>
      <c r="F200" s="260"/>
      <c r="G200" s="261"/>
    </row>
    <row r="201" spans="2:7" ht="13.9" thickBot="1" x14ac:dyDescent="0.4"/>
    <row r="202" spans="2:7" ht="13.9" thickBot="1" x14ac:dyDescent="0.4">
      <c r="B202" s="43">
        <v>2026</v>
      </c>
    </row>
    <row r="203" spans="2:7" ht="13.9" thickBot="1" x14ac:dyDescent="0.4"/>
    <row r="204" spans="2:7" ht="13.9" thickBot="1" x14ac:dyDescent="0.4">
      <c r="F204" s="282">
        <v>0.27</v>
      </c>
      <c r="G204" s="283"/>
    </row>
    <row r="205" spans="2:7" ht="13.9" thickBot="1" x14ac:dyDescent="0.4">
      <c r="B205" s="43" t="s">
        <v>0</v>
      </c>
      <c r="C205" s="43" t="s">
        <v>1</v>
      </c>
      <c r="D205" s="43" t="s">
        <v>11</v>
      </c>
      <c r="E205" s="43" t="s">
        <v>12</v>
      </c>
      <c r="F205" s="43" t="s">
        <v>13</v>
      </c>
      <c r="G205" s="43" t="s">
        <v>6</v>
      </c>
    </row>
    <row r="206" spans="2:7" ht="6.6" customHeight="1" x14ac:dyDescent="0.35">
      <c r="B206" s="18"/>
      <c r="C206" s="18"/>
      <c r="D206" s="18"/>
      <c r="E206" s="20"/>
      <c r="F206" s="20"/>
      <c r="G206" s="20"/>
    </row>
    <row r="207" spans="2:7" x14ac:dyDescent="0.35">
      <c r="B207" s="18" t="str">
        <f>+B195</f>
        <v>Gastos de Organización y Puesta en Marcha</v>
      </c>
      <c r="C207" s="18">
        <v>0</v>
      </c>
      <c r="D207" s="21">
        <f>+E197</f>
        <v>5291690.8405999988</v>
      </c>
      <c r="E207" s="20">
        <f>+D207</f>
        <v>5291690.8405999988</v>
      </c>
      <c r="F207" s="20">
        <f>ROUND(+E207*F204,0)</f>
        <v>1428757</v>
      </c>
      <c r="G207" s="20"/>
    </row>
    <row r="208" spans="2:7" ht="3" customHeight="1" thickBot="1" x14ac:dyDescent="0.4">
      <c r="B208" s="18"/>
      <c r="C208" s="18"/>
      <c r="D208" s="18"/>
      <c r="E208" s="20"/>
      <c r="F208" s="20"/>
      <c r="G208" s="20"/>
    </row>
    <row r="209" spans="1:8" ht="16.8" customHeight="1" thickBot="1" x14ac:dyDescent="0.4">
      <c r="B209" s="17"/>
      <c r="C209" s="17"/>
      <c r="D209" s="17"/>
      <c r="E209" s="19"/>
      <c r="F209" s="102">
        <f>SUM(F207:F208)</f>
        <v>1428757</v>
      </c>
      <c r="G209" s="19"/>
    </row>
    <row r="210" spans="1:8" ht="13.9" thickBot="1" x14ac:dyDescent="0.4"/>
    <row r="211" spans="1:8" ht="13.9" thickBot="1" x14ac:dyDescent="0.4">
      <c r="B211" s="44" t="s">
        <v>3</v>
      </c>
      <c r="C211" s="270" t="s">
        <v>0</v>
      </c>
      <c r="D211" s="271"/>
      <c r="E211" s="272"/>
      <c r="F211" s="45" t="s">
        <v>4</v>
      </c>
      <c r="G211" s="45" t="s">
        <v>5</v>
      </c>
    </row>
    <row r="212" spans="1:8" x14ac:dyDescent="0.35">
      <c r="B212" s="103" t="s">
        <v>99</v>
      </c>
      <c r="C212" s="104" t="s">
        <v>2</v>
      </c>
      <c r="D212" s="104">
        <v>5</v>
      </c>
      <c r="E212" s="105" t="s">
        <v>2</v>
      </c>
      <c r="F212" s="106"/>
      <c r="G212" s="106"/>
    </row>
    <row r="213" spans="1:8" x14ac:dyDescent="0.35">
      <c r="B213" s="107" t="s">
        <v>100</v>
      </c>
      <c r="C213" s="273" t="s">
        <v>102</v>
      </c>
      <c r="D213" s="274"/>
      <c r="E213" s="275"/>
      <c r="F213" s="108">
        <f>+C225-F209</f>
        <v>1342836</v>
      </c>
      <c r="G213" s="109"/>
    </row>
    <row r="214" spans="1:8" x14ac:dyDescent="0.35">
      <c r="B214" s="107" t="s">
        <v>13</v>
      </c>
      <c r="C214" s="284" t="s">
        <v>101</v>
      </c>
      <c r="D214" s="285"/>
      <c r="E214" s="286"/>
      <c r="F214" s="109"/>
      <c r="G214" s="108">
        <f>+F213</f>
        <v>1342836</v>
      </c>
    </row>
    <row r="215" spans="1:8" x14ac:dyDescent="0.35">
      <c r="B215" s="3"/>
      <c r="C215" s="279"/>
      <c r="D215" s="280"/>
      <c r="E215" s="281"/>
      <c r="F215" s="4"/>
      <c r="G215" s="4"/>
    </row>
    <row r="216" spans="1:8" ht="6.6" customHeight="1" thickBot="1" x14ac:dyDescent="0.4">
      <c r="B216" s="5"/>
      <c r="C216" s="6"/>
      <c r="D216" s="6"/>
      <c r="E216" s="7"/>
      <c r="F216" s="7"/>
      <c r="G216" s="7"/>
    </row>
    <row r="218" spans="1:8" ht="13.9" thickBot="1" x14ac:dyDescent="0.4"/>
    <row r="219" spans="1:8" x14ac:dyDescent="0.35">
      <c r="A219" s="86"/>
      <c r="B219" s="267" t="str">
        <f>+F180</f>
        <v>Activo por Impuestos Diferidos</v>
      </c>
      <c r="C219" s="268"/>
      <c r="F219" s="269" t="str">
        <f>+B219</f>
        <v>Activo por Impuestos Diferidos</v>
      </c>
      <c r="G219" s="269"/>
    </row>
    <row r="220" spans="1:8" x14ac:dyDescent="0.35">
      <c r="A220" s="87" t="str">
        <f>+E181</f>
        <v>31.12.2022</v>
      </c>
      <c r="B220" s="110">
        <f>+F181</f>
        <v>6203700</v>
      </c>
      <c r="C220" s="136">
        <f t="shared" ref="C220:D222" si="1">+G181</f>
        <v>942962</v>
      </c>
      <c r="D220" s="1" t="str">
        <f t="shared" si="1"/>
        <v>31.12.2023</v>
      </c>
      <c r="E220" s="1" t="str">
        <f>+A220</f>
        <v>31.12.2022</v>
      </c>
      <c r="F220" s="110">
        <f>+B220</f>
        <v>6203700</v>
      </c>
      <c r="G220" s="84">
        <f>+C220</f>
        <v>942962</v>
      </c>
      <c r="H220" s="1" t="str">
        <f>+D220</f>
        <v>31.12.2023</v>
      </c>
    </row>
    <row r="221" spans="1:8" x14ac:dyDescent="0.35">
      <c r="A221" s="87"/>
      <c r="B221" s="46"/>
      <c r="C221" s="136">
        <f t="shared" si="1"/>
        <v>1196818</v>
      </c>
      <c r="D221" s="1" t="str">
        <f t="shared" si="1"/>
        <v>31.12.2024</v>
      </c>
      <c r="F221" s="46"/>
      <c r="G221" s="84">
        <f t="shared" ref="G221:G222" si="2">+C221</f>
        <v>1196818</v>
      </c>
      <c r="H221" s="1" t="str">
        <f t="shared" ref="H221:H222" si="3">+D221</f>
        <v>31.12.2024</v>
      </c>
    </row>
    <row r="222" spans="1:8" x14ac:dyDescent="0.35">
      <c r="A222" s="87"/>
      <c r="B222" s="46"/>
      <c r="C222" s="136">
        <f t="shared" si="1"/>
        <v>1292327</v>
      </c>
      <c r="D222" s="1" t="str">
        <f t="shared" si="1"/>
        <v>31.12.2025</v>
      </c>
      <c r="F222" s="46"/>
      <c r="G222" s="84">
        <f t="shared" si="2"/>
        <v>1292327</v>
      </c>
      <c r="H222" s="1" t="str">
        <f t="shared" si="3"/>
        <v>31.12.2025</v>
      </c>
    </row>
    <row r="223" spans="1:8" x14ac:dyDescent="0.35">
      <c r="A223" s="87"/>
      <c r="B223" s="111"/>
      <c r="C223" s="131"/>
      <c r="F223" s="111"/>
      <c r="G223" s="140">
        <f>+G214</f>
        <v>1342836</v>
      </c>
      <c r="H223" s="1" t="s">
        <v>110</v>
      </c>
    </row>
    <row r="224" spans="1:8" x14ac:dyDescent="0.35">
      <c r="A224" s="87"/>
      <c r="B224" s="141">
        <f>SUM(B220:B223)</f>
        <v>6203700</v>
      </c>
      <c r="C224" s="136">
        <f>SUM(C220:C223)</f>
        <v>3432107</v>
      </c>
      <c r="F224" s="141">
        <f>SUM(F220:F223)</f>
        <v>6203700</v>
      </c>
      <c r="G224" s="84">
        <f>SUM(G220:G223)</f>
        <v>4774943</v>
      </c>
    </row>
    <row r="225" spans="1:7" ht="13.9" thickBot="1" x14ac:dyDescent="0.4">
      <c r="A225" s="89"/>
      <c r="B225" s="132" t="s">
        <v>104</v>
      </c>
      <c r="C225" s="133">
        <f>+B224-C224</f>
        <v>2771593</v>
      </c>
      <c r="F225" s="113" t="s">
        <v>104</v>
      </c>
      <c r="G225" s="114">
        <f>+F224-G224</f>
        <v>1428757</v>
      </c>
    </row>
    <row r="228" spans="1:7" ht="13.9" thickBot="1" x14ac:dyDescent="0.4">
      <c r="F228" s="25" t="s">
        <v>105</v>
      </c>
      <c r="G228" s="1" t="s">
        <v>98</v>
      </c>
    </row>
    <row r="229" spans="1:7" ht="13.9" thickBot="1" x14ac:dyDescent="0.4">
      <c r="B229" s="90" t="s">
        <v>8</v>
      </c>
      <c r="C229" s="97"/>
      <c r="D229" s="91"/>
      <c r="E229" s="94">
        <f>+E195</f>
        <v>31750142</v>
      </c>
      <c r="F229" s="49">
        <f>ROUND(+E229*0.021,0)</f>
        <v>666753</v>
      </c>
      <c r="G229" s="26">
        <f>+E229+F229</f>
        <v>32416895</v>
      </c>
    </row>
    <row r="230" spans="1:7" ht="13.9" thickBot="1" x14ac:dyDescent="0.4">
      <c r="B230" s="99" t="s">
        <v>9</v>
      </c>
      <c r="C230" s="100"/>
      <c r="D230" s="100"/>
      <c r="E230" s="101">
        <f>+E196</f>
        <v>-26458451.159400001</v>
      </c>
      <c r="F230" s="49">
        <f>ROUND(+E230*0.021,0)</f>
        <v>-555627</v>
      </c>
      <c r="G230" s="26">
        <f>+E230+F230</f>
        <v>-27014078.159400001</v>
      </c>
    </row>
    <row r="231" spans="1:7" ht="13.9" thickBot="1" x14ac:dyDescent="0.4">
      <c r="B231" s="90" t="s">
        <v>86</v>
      </c>
      <c r="C231" s="97"/>
      <c r="D231" s="91"/>
      <c r="E231" s="93">
        <f>SUM(E229:E230)</f>
        <v>5291690.8405999988</v>
      </c>
      <c r="G231" s="139">
        <f>SUM(G229:G230)</f>
        <v>5402816.8405999988</v>
      </c>
    </row>
    <row r="232" spans="1:7" ht="13.9" thickBot="1" x14ac:dyDescent="0.4"/>
    <row r="233" spans="1:7" ht="13.9" thickBot="1" x14ac:dyDescent="0.4">
      <c r="B233" s="90" t="s">
        <v>8</v>
      </c>
      <c r="C233" s="97"/>
      <c r="D233" s="91"/>
      <c r="E233" s="94">
        <f>+G229</f>
        <v>32416895</v>
      </c>
    </row>
    <row r="234" spans="1:7" ht="13.9" thickBot="1" x14ac:dyDescent="0.4">
      <c r="B234" s="99" t="s">
        <v>9</v>
      </c>
      <c r="C234" s="100"/>
      <c r="D234" s="100"/>
      <c r="E234" s="101">
        <f>+G230-G231</f>
        <v>-32416895</v>
      </c>
    </row>
    <row r="235" spans="1:7" ht="13.9" thickBot="1" x14ac:dyDescent="0.4">
      <c r="B235" s="90" t="s">
        <v>86</v>
      </c>
      <c r="C235" s="97"/>
      <c r="D235" s="91"/>
      <c r="E235" s="93">
        <f>SUM(E233:E234)</f>
        <v>0</v>
      </c>
    </row>
    <row r="237" spans="1:7" ht="13.9" thickBot="1" x14ac:dyDescent="0.4"/>
    <row r="238" spans="1:7" ht="13.9" thickBot="1" x14ac:dyDescent="0.4">
      <c r="B238" s="259" t="s">
        <v>70</v>
      </c>
      <c r="C238" s="260"/>
      <c r="D238" s="260"/>
      <c r="E238" s="260"/>
      <c r="F238" s="260"/>
      <c r="G238" s="261"/>
    </row>
    <row r="239" spans="1:7" ht="13.9" thickBot="1" x14ac:dyDescent="0.4"/>
    <row r="240" spans="1:7" ht="13.9" thickBot="1" x14ac:dyDescent="0.4">
      <c r="B240" s="43">
        <v>2027</v>
      </c>
    </row>
    <row r="241" spans="2:7" ht="13.9" thickBot="1" x14ac:dyDescent="0.4"/>
    <row r="242" spans="2:7" ht="13.9" thickBot="1" x14ac:dyDescent="0.4">
      <c r="F242" s="282">
        <v>0.27</v>
      </c>
      <c r="G242" s="283"/>
    </row>
    <row r="243" spans="2:7" ht="13.9" thickBot="1" x14ac:dyDescent="0.4">
      <c r="B243" s="43" t="s">
        <v>0</v>
      </c>
      <c r="C243" s="43" t="s">
        <v>1</v>
      </c>
      <c r="D243" s="43" t="s">
        <v>11</v>
      </c>
      <c r="E243" s="43" t="s">
        <v>12</v>
      </c>
      <c r="F243" s="43" t="s">
        <v>13</v>
      </c>
      <c r="G243" s="43" t="s">
        <v>6</v>
      </c>
    </row>
    <row r="244" spans="2:7" ht="6.6" customHeight="1" x14ac:dyDescent="0.35">
      <c r="B244" s="18"/>
      <c r="C244" s="18"/>
      <c r="D244" s="18"/>
      <c r="E244" s="20"/>
      <c r="F244" s="20"/>
      <c r="G244" s="20"/>
    </row>
    <row r="245" spans="2:7" x14ac:dyDescent="0.35">
      <c r="B245" s="18" t="str">
        <f>+B229</f>
        <v>Gastos de Organización y Puesta en Marcha</v>
      </c>
      <c r="C245" s="18">
        <v>0</v>
      </c>
      <c r="D245" s="21">
        <v>0</v>
      </c>
      <c r="E245" s="20">
        <v>0</v>
      </c>
      <c r="F245" s="20">
        <f>ROUND(+E245*F242,0)</f>
        <v>0</v>
      </c>
      <c r="G245" s="20"/>
    </row>
    <row r="246" spans="2:7" ht="3" customHeight="1" thickBot="1" x14ac:dyDescent="0.4">
      <c r="B246" s="18"/>
      <c r="C246" s="18"/>
      <c r="D246" s="18"/>
      <c r="E246" s="20"/>
      <c r="F246" s="20"/>
      <c r="G246" s="20"/>
    </row>
    <row r="247" spans="2:7" ht="16.8" customHeight="1" thickBot="1" x14ac:dyDescent="0.4">
      <c r="B247" s="17"/>
      <c r="C247" s="17"/>
      <c r="D247" s="17"/>
      <c r="E247" s="19"/>
      <c r="F247" s="102">
        <f>SUM(F245:F246)</f>
        <v>0</v>
      </c>
      <c r="G247" s="19"/>
    </row>
    <row r="248" spans="2:7" ht="13.9" thickBot="1" x14ac:dyDescent="0.4"/>
    <row r="249" spans="2:7" ht="13.9" thickBot="1" x14ac:dyDescent="0.4">
      <c r="B249" s="44" t="s">
        <v>3</v>
      </c>
      <c r="C249" s="270" t="s">
        <v>0</v>
      </c>
      <c r="D249" s="271"/>
      <c r="E249" s="272"/>
      <c r="F249" s="45" t="s">
        <v>4</v>
      </c>
      <c r="G249" s="45" t="s">
        <v>5</v>
      </c>
    </row>
    <row r="250" spans="2:7" x14ac:dyDescent="0.35">
      <c r="B250" s="103" t="s">
        <v>99</v>
      </c>
      <c r="C250" s="104" t="s">
        <v>2</v>
      </c>
      <c r="D250" s="104">
        <v>7</v>
      </c>
      <c r="E250" s="105" t="s">
        <v>2</v>
      </c>
      <c r="F250" s="106"/>
      <c r="G250" s="106"/>
    </row>
    <row r="251" spans="2:7" x14ac:dyDescent="0.35">
      <c r="B251" s="107" t="s">
        <v>100</v>
      </c>
      <c r="C251" s="273" t="s">
        <v>102</v>
      </c>
      <c r="D251" s="274"/>
      <c r="E251" s="275"/>
      <c r="F251" s="108">
        <f>+C263-F247</f>
        <v>1428757</v>
      </c>
      <c r="G251" s="109"/>
    </row>
    <row r="252" spans="2:7" x14ac:dyDescent="0.35">
      <c r="B252" s="107" t="s">
        <v>13</v>
      </c>
      <c r="C252" s="284" t="s">
        <v>101</v>
      </c>
      <c r="D252" s="285"/>
      <c r="E252" s="286"/>
      <c r="F252" s="109"/>
      <c r="G252" s="108">
        <f>+F251</f>
        <v>1428757</v>
      </c>
    </row>
    <row r="253" spans="2:7" x14ac:dyDescent="0.35">
      <c r="B253" s="3"/>
      <c r="C253" s="279"/>
      <c r="D253" s="280"/>
      <c r="E253" s="281"/>
      <c r="F253" s="4"/>
      <c r="G253" s="4"/>
    </row>
    <row r="254" spans="2:7" ht="6.6" customHeight="1" thickBot="1" x14ac:dyDescent="0.4">
      <c r="B254" s="5"/>
      <c r="C254" s="6"/>
      <c r="D254" s="6"/>
      <c r="E254" s="7"/>
      <c r="F254" s="7"/>
      <c r="G254" s="7"/>
    </row>
    <row r="256" spans="2:7" ht="13.9" thickBot="1" x14ac:dyDescent="0.4"/>
    <row r="257" spans="1:8" x14ac:dyDescent="0.35">
      <c r="A257" s="86"/>
      <c r="B257" s="267" t="str">
        <f>+F219</f>
        <v>Activo por Impuestos Diferidos</v>
      </c>
      <c r="C257" s="268"/>
      <c r="F257" s="269" t="str">
        <f>+B257</f>
        <v>Activo por Impuestos Diferidos</v>
      </c>
      <c r="G257" s="269"/>
    </row>
    <row r="258" spans="1:8" x14ac:dyDescent="0.35">
      <c r="A258" s="87" t="str">
        <f>+E220</f>
        <v>31.12.2022</v>
      </c>
      <c r="B258" s="110">
        <f>+F220</f>
        <v>6203700</v>
      </c>
      <c r="C258" s="136">
        <f>+G220</f>
        <v>942962</v>
      </c>
      <c r="D258" s="1" t="str">
        <f>+H220</f>
        <v>31.12.2023</v>
      </c>
      <c r="E258" s="1" t="str">
        <f>+A258</f>
        <v>31.12.2022</v>
      </c>
      <c r="F258" s="110">
        <f>+B258</f>
        <v>6203700</v>
      </c>
      <c r="G258" s="84">
        <f>+C258</f>
        <v>942962</v>
      </c>
      <c r="H258" s="1" t="str">
        <f>+D258</f>
        <v>31.12.2023</v>
      </c>
    </row>
    <row r="259" spans="1:8" x14ac:dyDescent="0.35">
      <c r="A259" s="87"/>
      <c r="B259" s="46"/>
      <c r="C259" s="136">
        <f t="shared" ref="C259:C261" si="4">+G221</f>
        <v>1196818</v>
      </c>
      <c r="D259" s="1" t="str">
        <f t="shared" ref="D259:D261" si="5">+H221</f>
        <v>31.12.2024</v>
      </c>
      <c r="F259" s="46"/>
      <c r="G259" s="84">
        <f t="shared" ref="G259:G260" si="6">+C259</f>
        <v>1196818</v>
      </c>
      <c r="H259" s="1" t="str">
        <f t="shared" ref="H259:H260" si="7">+D259</f>
        <v>31.12.2024</v>
      </c>
    </row>
    <row r="260" spans="1:8" x14ac:dyDescent="0.35">
      <c r="A260" s="87"/>
      <c r="B260" s="46"/>
      <c r="C260" s="136">
        <f t="shared" si="4"/>
        <v>1292327</v>
      </c>
      <c r="D260" s="1" t="str">
        <f t="shared" si="5"/>
        <v>31.12.2025</v>
      </c>
      <c r="F260" s="46"/>
      <c r="G260" s="84">
        <f t="shared" si="6"/>
        <v>1292327</v>
      </c>
      <c r="H260" s="1" t="str">
        <f t="shared" si="7"/>
        <v>31.12.2025</v>
      </c>
    </row>
    <row r="261" spans="1:8" x14ac:dyDescent="0.35">
      <c r="A261" s="87"/>
      <c r="B261" s="111"/>
      <c r="C261" s="142">
        <f t="shared" si="4"/>
        <v>1342836</v>
      </c>
      <c r="D261" s="1" t="str">
        <f t="shared" si="5"/>
        <v>31.12.2026</v>
      </c>
      <c r="F261" s="46"/>
      <c r="G261" s="84">
        <f>+C261</f>
        <v>1342836</v>
      </c>
      <c r="H261" s="1" t="s">
        <v>110</v>
      </c>
    </row>
    <row r="262" spans="1:8" x14ac:dyDescent="0.35">
      <c r="A262" s="87"/>
      <c r="B262" s="141">
        <f>SUM(B258:B261)</f>
        <v>6203700</v>
      </c>
      <c r="C262" s="136">
        <f>SUM(C258:C261)</f>
        <v>4774943</v>
      </c>
      <c r="F262" s="111"/>
      <c r="G262" s="140">
        <f>+G252</f>
        <v>1428757</v>
      </c>
    </row>
    <row r="263" spans="1:8" ht="13.9" thickBot="1" x14ac:dyDescent="0.4">
      <c r="A263" s="89"/>
      <c r="B263" s="132" t="s">
        <v>104</v>
      </c>
      <c r="C263" s="133">
        <f>+B262-C262</f>
        <v>1428757</v>
      </c>
      <c r="F263" s="141">
        <f>SUM(F258:F261)</f>
        <v>6203700</v>
      </c>
      <c r="G263" s="84">
        <f>SUM(G258:G262)</f>
        <v>6203700</v>
      </c>
    </row>
    <row r="264" spans="1:8" x14ac:dyDescent="0.35">
      <c r="F264" s="143" t="s">
        <v>104</v>
      </c>
      <c r="G264" s="144">
        <f>+F263-G263</f>
        <v>0</v>
      </c>
    </row>
  </sheetData>
  <mergeCells count="61">
    <mergeCell ref="B257:C257"/>
    <mergeCell ref="F257:G257"/>
    <mergeCell ref="F242:G242"/>
    <mergeCell ref="C249:E249"/>
    <mergeCell ref="C251:E251"/>
    <mergeCell ref="C252:E252"/>
    <mergeCell ref="C253:E253"/>
    <mergeCell ref="C214:E214"/>
    <mergeCell ref="C215:E215"/>
    <mergeCell ref="B219:C219"/>
    <mergeCell ref="F219:G219"/>
    <mergeCell ref="B238:G238"/>
    <mergeCell ref="F180:G180"/>
    <mergeCell ref="B200:G200"/>
    <mergeCell ref="F204:G204"/>
    <mergeCell ref="C211:E211"/>
    <mergeCell ref="C213:E213"/>
    <mergeCell ref="C172:E172"/>
    <mergeCell ref="C174:E174"/>
    <mergeCell ref="C175:E175"/>
    <mergeCell ref="C176:E176"/>
    <mergeCell ref="B180:C180"/>
    <mergeCell ref="C138:E138"/>
    <mergeCell ref="B142:C142"/>
    <mergeCell ref="F142:G142"/>
    <mergeCell ref="B161:G161"/>
    <mergeCell ref="F165:G165"/>
    <mergeCell ref="B123:G123"/>
    <mergeCell ref="F127:G127"/>
    <mergeCell ref="C134:E134"/>
    <mergeCell ref="C136:E136"/>
    <mergeCell ref="C137:E137"/>
    <mergeCell ref="J38:L38"/>
    <mergeCell ref="J40:L40"/>
    <mergeCell ref="J41:L41"/>
    <mergeCell ref="J42:L42"/>
    <mergeCell ref="C100:E100"/>
    <mergeCell ref="F68:G68"/>
    <mergeCell ref="F53:G53"/>
    <mergeCell ref="B68:C68"/>
    <mergeCell ref="C60:E60"/>
    <mergeCell ref="C62:E62"/>
    <mergeCell ref="C63:E63"/>
    <mergeCell ref="C64:E64"/>
    <mergeCell ref="B104:C104"/>
    <mergeCell ref="F104:G104"/>
    <mergeCell ref="J72:L72"/>
    <mergeCell ref="J74:L74"/>
    <mergeCell ref="J75:L75"/>
    <mergeCell ref="J76:L76"/>
    <mergeCell ref="B85:G85"/>
    <mergeCell ref="F89:G89"/>
    <mergeCell ref="C96:E96"/>
    <mergeCell ref="C98:E98"/>
    <mergeCell ref="C99:E99"/>
    <mergeCell ref="B2:G2"/>
    <mergeCell ref="B4:G4"/>
    <mergeCell ref="D34:D36"/>
    <mergeCell ref="E34:E36"/>
    <mergeCell ref="B49:G49"/>
    <mergeCell ref="B31:C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CD58F-3F89-469C-8111-F6DCA706986C}">
  <sheetPr>
    <pageSetUpPr fitToPage="1"/>
  </sheetPr>
  <dimension ref="B1:G34"/>
  <sheetViews>
    <sheetView topLeftCell="A6" workbookViewId="0">
      <selection activeCell="B34" sqref="B2:G34"/>
    </sheetView>
  </sheetViews>
  <sheetFormatPr baseColWidth="10" defaultColWidth="11.53125" defaultRowHeight="13.5" x14ac:dyDescent="0.35"/>
  <cols>
    <col min="1" max="1" width="12.1328125" style="1" customWidth="1"/>
    <col min="2" max="2" width="18.6640625" style="1" customWidth="1"/>
    <col min="3" max="3" width="16.1328125" style="1" customWidth="1"/>
    <col min="4" max="4" width="27.6640625" style="1" customWidth="1"/>
    <col min="5" max="5" width="17.796875" style="1" bestFit="1" customWidth="1"/>
    <col min="6" max="6" width="21.33203125" style="1" customWidth="1"/>
    <col min="7" max="7" width="20.53125" style="1" customWidth="1"/>
    <col min="8" max="16384" width="11.53125" style="1"/>
  </cols>
  <sheetData>
    <row r="1" spans="2:7" ht="13.9" thickBot="1" x14ac:dyDescent="0.4"/>
    <row r="2" spans="2:7" ht="13.9" thickBot="1" x14ac:dyDescent="0.4">
      <c r="B2" s="288" t="s">
        <v>27</v>
      </c>
      <c r="C2" s="289"/>
      <c r="D2" s="289"/>
      <c r="E2" s="289"/>
      <c r="F2" s="289"/>
      <c r="G2" s="290"/>
    </row>
    <row r="3" spans="2:7" ht="13.9" thickBot="1" x14ac:dyDescent="0.4"/>
    <row r="4" spans="2:7" ht="13.9" thickBot="1" x14ac:dyDescent="0.4">
      <c r="B4" s="259" t="s">
        <v>28</v>
      </c>
      <c r="C4" s="260"/>
      <c r="D4" s="260"/>
      <c r="E4" s="260"/>
      <c r="F4" s="260"/>
      <c r="G4" s="261"/>
    </row>
    <row r="5" spans="2:7" ht="13.9" thickBot="1" x14ac:dyDescent="0.4"/>
    <row r="6" spans="2:7" ht="13.9" thickBot="1" x14ac:dyDescent="0.4">
      <c r="B6" s="29" t="s">
        <v>29</v>
      </c>
      <c r="C6" s="11" t="s">
        <v>0</v>
      </c>
      <c r="D6" s="11" t="s">
        <v>30</v>
      </c>
      <c r="E6" s="11" t="s">
        <v>7</v>
      </c>
      <c r="F6" s="11" t="s">
        <v>1</v>
      </c>
      <c r="G6" s="11" t="s">
        <v>31</v>
      </c>
    </row>
    <row r="7" spans="2:7" s="27" customFormat="1" ht="13.9" thickBot="1" x14ac:dyDescent="0.4">
      <c r="B7" s="245" t="s">
        <v>145</v>
      </c>
      <c r="C7" s="246" t="s">
        <v>33</v>
      </c>
      <c r="D7" s="247" t="s">
        <v>34</v>
      </c>
      <c r="E7" s="248">
        <v>3000000</v>
      </c>
      <c r="F7" s="247" t="s">
        <v>94</v>
      </c>
      <c r="G7" s="247"/>
    </row>
    <row r="8" spans="2:7" s="27" customFormat="1" ht="27.4" thickBot="1" x14ac:dyDescent="0.4">
      <c r="B8" s="249" t="s">
        <v>145</v>
      </c>
      <c r="C8" s="250" t="s">
        <v>35</v>
      </c>
      <c r="D8" s="251" t="s">
        <v>36</v>
      </c>
      <c r="E8" s="252">
        <v>4500000</v>
      </c>
      <c r="F8" s="251" t="s">
        <v>94</v>
      </c>
      <c r="G8" s="251"/>
    </row>
    <row r="9" spans="2:7" s="27" customFormat="1" ht="13.9" thickBot="1" x14ac:dyDescent="0.4">
      <c r="B9" s="249" t="s">
        <v>146</v>
      </c>
      <c r="C9" s="250" t="s">
        <v>38</v>
      </c>
      <c r="D9" s="251" t="s">
        <v>39</v>
      </c>
      <c r="E9" s="252">
        <v>2000000</v>
      </c>
      <c r="F9" s="251" t="s">
        <v>94</v>
      </c>
      <c r="G9" s="251"/>
    </row>
    <row r="10" spans="2:7" s="27" customFormat="1" ht="13.9" thickBot="1" x14ac:dyDescent="0.4">
      <c r="B10" s="249" t="s">
        <v>147</v>
      </c>
      <c r="C10" s="250" t="s">
        <v>41</v>
      </c>
      <c r="D10" s="251" t="s">
        <v>42</v>
      </c>
      <c r="E10" s="252">
        <v>10500000</v>
      </c>
      <c r="F10" s="251" t="s">
        <v>94</v>
      </c>
      <c r="G10" s="251"/>
    </row>
    <row r="11" spans="2:7" s="27" customFormat="1" ht="13.9" thickBot="1" x14ac:dyDescent="0.4">
      <c r="B11" s="249" t="s">
        <v>148</v>
      </c>
      <c r="C11" s="250" t="s">
        <v>44</v>
      </c>
      <c r="D11" s="251" t="s">
        <v>45</v>
      </c>
      <c r="E11" s="252">
        <v>2800000</v>
      </c>
      <c r="F11" s="251" t="s">
        <v>94</v>
      </c>
      <c r="G11" s="251"/>
    </row>
    <row r="12" spans="2:7" s="27" customFormat="1" ht="13.9" thickBot="1" x14ac:dyDescent="0.4">
      <c r="B12" s="249" t="s">
        <v>149</v>
      </c>
      <c r="C12" s="250" t="s">
        <v>35</v>
      </c>
      <c r="D12" s="251" t="s">
        <v>46</v>
      </c>
      <c r="E12" s="252">
        <v>900000</v>
      </c>
      <c r="F12" s="251" t="s">
        <v>94</v>
      </c>
      <c r="G12" s="251"/>
    </row>
    <row r="13" spans="2:7" s="27" customFormat="1" ht="13.9" thickBot="1" x14ac:dyDescent="0.4">
      <c r="B13" s="249" t="s">
        <v>150</v>
      </c>
      <c r="C13" s="250" t="s">
        <v>47</v>
      </c>
      <c r="D13" s="251" t="s">
        <v>48</v>
      </c>
      <c r="E13" s="252">
        <v>1500000</v>
      </c>
      <c r="F13" s="251" t="s">
        <v>94</v>
      </c>
      <c r="G13" s="251"/>
    </row>
    <row r="14" spans="2:7" s="27" customFormat="1" ht="13.9" thickBot="1" x14ac:dyDescent="0.4">
      <c r="B14" s="249" t="s">
        <v>151</v>
      </c>
      <c r="C14" s="250" t="s">
        <v>38</v>
      </c>
      <c r="D14" s="251" t="s">
        <v>39</v>
      </c>
      <c r="E14" s="252">
        <v>2000000</v>
      </c>
      <c r="F14" s="251" t="s">
        <v>94</v>
      </c>
      <c r="G14" s="251"/>
    </row>
    <row r="15" spans="2:7" s="27" customFormat="1" ht="13.9" thickBot="1" x14ac:dyDescent="0.4">
      <c r="B15" s="249" t="s">
        <v>152</v>
      </c>
      <c r="C15" s="250" t="s">
        <v>49</v>
      </c>
      <c r="D15" s="251" t="s">
        <v>50</v>
      </c>
      <c r="E15" s="252">
        <v>3000000</v>
      </c>
      <c r="F15" s="251" t="s">
        <v>95</v>
      </c>
      <c r="G15" s="251"/>
    </row>
    <row r="16" spans="2:7" ht="13.9" thickBot="1" x14ac:dyDescent="0.4">
      <c r="B16" s="42" t="s">
        <v>153</v>
      </c>
      <c r="C16" s="23" t="s">
        <v>51</v>
      </c>
      <c r="D16" s="30" t="s">
        <v>52</v>
      </c>
      <c r="E16" s="24">
        <v>450000</v>
      </c>
      <c r="F16" s="30" t="s">
        <v>94</v>
      </c>
      <c r="G16" s="30"/>
    </row>
    <row r="17" spans="2:7" ht="13.9" thickBot="1" x14ac:dyDescent="0.4">
      <c r="B17" s="42" t="s">
        <v>154</v>
      </c>
      <c r="C17" s="23" t="s">
        <v>35</v>
      </c>
      <c r="D17" s="30" t="s">
        <v>46</v>
      </c>
      <c r="E17" s="24">
        <v>900000</v>
      </c>
      <c r="F17" s="30" t="s">
        <v>94</v>
      </c>
      <c r="G17" s="30"/>
    </row>
    <row r="18" spans="2:7" ht="13.9" thickBot="1" x14ac:dyDescent="0.4">
      <c r="B18" s="42" t="s">
        <v>155</v>
      </c>
      <c r="C18" s="23" t="s">
        <v>53</v>
      </c>
      <c r="D18" s="30" t="s">
        <v>54</v>
      </c>
      <c r="E18" s="24">
        <v>1000000</v>
      </c>
      <c r="F18" s="30" t="s">
        <v>94</v>
      </c>
      <c r="G18" s="30"/>
    </row>
    <row r="19" spans="2:7" ht="13.9" thickBot="1" x14ac:dyDescent="0.4">
      <c r="B19" s="42" t="s">
        <v>156</v>
      </c>
      <c r="C19" s="23" t="s">
        <v>38</v>
      </c>
      <c r="D19" s="30" t="s">
        <v>39</v>
      </c>
      <c r="E19" s="24">
        <v>2000000</v>
      </c>
      <c r="F19" s="30" t="s">
        <v>94</v>
      </c>
      <c r="G19" s="30"/>
    </row>
    <row r="20" spans="2:7" ht="13.9" thickBot="1" x14ac:dyDescent="0.4">
      <c r="B20" s="42" t="s">
        <v>157</v>
      </c>
      <c r="C20" s="23" t="s">
        <v>49</v>
      </c>
      <c r="D20" s="30" t="s">
        <v>50</v>
      </c>
      <c r="E20" s="24">
        <v>5500000</v>
      </c>
      <c r="F20" s="30" t="s">
        <v>95</v>
      </c>
      <c r="G20" s="30"/>
    </row>
    <row r="22" spans="2:7" ht="13.9" thickBot="1" x14ac:dyDescent="0.4"/>
    <row r="23" spans="2:7" ht="27.75" thickTop="1" thickBot="1" x14ac:dyDescent="0.4">
      <c r="B23" s="31" t="s">
        <v>55</v>
      </c>
      <c r="C23" s="32" t="s">
        <v>56</v>
      </c>
      <c r="D23" s="262" t="s">
        <v>57</v>
      </c>
      <c r="E23" s="262" t="s">
        <v>58</v>
      </c>
    </row>
    <row r="24" spans="2:7" ht="14.25" thickTop="1" thickBot="1" x14ac:dyDescent="0.4">
      <c r="B24" s="253">
        <v>45566</v>
      </c>
      <c r="C24" s="254">
        <v>1.4999999999999999E-2</v>
      </c>
      <c r="D24" s="263"/>
      <c r="E24" s="263"/>
    </row>
    <row r="25" spans="2:7" ht="13.9" thickBot="1" x14ac:dyDescent="0.4">
      <c r="B25" s="253">
        <v>45597</v>
      </c>
      <c r="C25" s="254">
        <v>0.01</v>
      </c>
      <c r="D25" s="264"/>
      <c r="E25" s="264"/>
    </row>
    <row r="26" spans="2:7" ht="13.9" thickBot="1" x14ac:dyDescent="0.4">
      <c r="B26" s="253">
        <v>45627</v>
      </c>
      <c r="C26" s="254">
        <v>0</v>
      </c>
      <c r="D26" s="30">
        <v>2024</v>
      </c>
      <c r="E26" s="36">
        <v>0.27</v>
      </c>
    </row>
    <row r="27" spans="2:7" ht="13.9" thickBot="1" x14ac:dyDescent="0.4">
      <c r="B27" s="255">
        <v>2025</v>
      </c>
      <c r="C27" s="254">
        <v>0.06</v>
      </c>
      <c r="D27" s="30">
        <v>2025</v>
      </c>
      <c r="E27" s="36">
        <v>0.27</v>
      </c>
    </row>
    <row r="28" spans="2:7" ht="13.9" thickBot="1" x14ac:dyDescent="0.4">
      <c r="B28" s="255">
        <v>2026</v>
      </c>
      <c r="C28" s="254">
        <v>0.03</v>
      </c>
      <c r="D28" s="30">
        <v>2026</v>
      </c>
      <c r="E28" s="36">
        <v>0.27</v>
      </c>
    </row>
    <row r="29" spans="2:7" ht="13.9" thickBot="1" x14ac:dyDescent="0.4">
      <c r="B29" s="255">
        <v>2027</v>
      </c>
      <c r="C29" s="254">
        <v>2.3E-2</v>
      </c>
      <c r="D29" s="40">
        <v>2027</v>
      </c>
      <c r="E29" s="36">
        <v>0.27</v>
      </c>
    </row>
    <row r="30" spans="2:7" ht="13.9" thickBot="1" x14ac:dyDescent="0.4">
      <c r="B30" s="37">
        <v>2028</v>
      </c>
      <c r="C30" s="35">
        <v>3.1E-2</v>
      </c>
      <c r="D30" s="30">
        <v>2028</v>
      </c>
      <c r="E30" s="36">
        <v>0.27</v>
      </c>
    </row>
    <row r="31" spans="2:7" ht="13.9" thickBot="1" x14ac:dyDescent="0.4">
      <c r="B31" s="38">
        <v>2029</v>
      </c>
      <c r="C31" s="39">
        <v>2.1000000000000001E-2</v>
      </c>
      <c r="D31" s="40">
        <v>2029</v>
      </c>
      <c r="E31" s="41">
        <v>0.27</v>
      </c>
    </row>
    <row r="32" spans="2:7" ht="13.9" thickTop="1" x14ac:dyDescent="0.35"/>
    <row r="33" spans="2:7" ht="13.9" thickBot="1" x14ac:dyDescent="0.4"/>
    <row r="34" spans="2:7" ht="13.9" thickBot="1" x14ac:dyDescent="0.4">
      <c r="B34" s="259" t="s">
        <v>158</v>
      </c>
      <c r="C34" s="260"/>
      <c r="D34" s="260"/>
      <c r="E34" s="260"/>
      <c r="F34" s="260"/>
      <c r="G34" s="261"/>
    </row>
  </sheetData>
  <mergeCells count="5">
    <mergeCell ref="B34:G34"/>
    <mergeCell ref="B2:G2"/>
    <mergeCell ref="B4:G4"/>
    <mergeCell ref="D23:D25"/>
    <mergeCell ref="E23:E25"/>
  </mergeCell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B0070-E5C2-45E9-A89C-E49C7091B044}">
  <dimension ref="B1:G41"/>
  <sheetViews>
    <sheetView showGridLines="0" topLeftCell="A21" zoomScale="130" zoomScaleNormal="130" workbookViewId="0">
      <selection activeCell="B40" sqref="B40"/>
    </sheetView>
  </sheetViews>
  <sheetFormatPr baseColWidth="10" defaultColWidth="11.53125" defaultRowHeight="15" x14ac:dyDescent="0.4"/>
  <cols>
    <col min="1" max="1" width="3.796875" style="146" customWidth="1"/>
    <col min="2" max="2" width="49.46484375" style="146" customWidth="1"/>
    <col min="3" max="3" width="26.6640625" style="146" customWidth="1"/>
    <col min="4" max="7" width="19" style="146" customWidth="1"/>
    <col min="8" max="16384" width="11.53125" style="146"/>
  </cols>
  <sheetData>
    <row r="1" spans="2:3" x14ac:dyDescent="0.4">
      <c r="B1" s="145" t="s">
        <v>111</v>
      </c>
    </row>
    <row r="2" spans="2:3" x14ac:dyDescent="0.4">
      <c r="B2" s="147"/>
    </row>
    <row r="3" spans="2:3" x14ac:dyDescent="0.4">
      <c r="B3" s="148" t="s">
        <v>112</v>
      </c>
    </row>
    <row r="4" spans="2:3" x14ac:dyDescent="0.4">
      <c r="B4" s="149"/>
    </row>
    <row r="5" spans="2:3" x14ac:dyDescent="0.4">
      <c r="B5" s="149" t="s">
        <v>115</v>
      </c>
      <c r="C5" s="177">
        <v>95000000</v>
      </c>
    </row>
    <row r="6" spans="2:3" ht="15.4" thickBot="1" x14ac:dyDescent="0.45">
      <c r="B6" s="149" t="s">
        <v>105</v>
      </c>
      <c r="C6" s="177">
        <f>+C5*0.18</f>
        <v>17100000</v>
      </c>
    </row>
    <row r="7" spans="2:3" ht="15.4" thickBot="1" x14ac:dyDescent="0.45">
      <c r="B7" s="178" t="s">
        <v>116</v>
      </c>
      <c r="C7" s="179">
        <f>+C5+C6</f>
        <v>112100000</v>
      </c>
    </row>
    <row r="8" spans="2:3" s="158" customFormat="1" x14ac:dyDescent="0.4">
      <c r="B8" s="180"/>
      <c r="C8" s="181"/>
    </row>
    <row r="9" spans="2:3" s="158" customFormat="1" x14ac:dyDescent="0.4">
      <c r="B9" s="180" t="s">
        <v>117</v>
      </c>
      <c r="C9" s="181">
        <v>18700000</v>
      </c>
    </row>
    <row r="10" spans="2:3" s="158" customFormat="1" ht="15.4" thickBot="1" x14ac:dyDescent="0.45">
      <c r="B10" s="180"/>
      <c r="C10" s="181"/>
    </row>
    <row r="11" spans="2:3" s="158" customFormat="1" ht="15.4" thickBot="1" x14ac:dyDescent="0.45">
      <c r="B11" s="183" t="s">
        <v>118</v>
      </c>
      <c r="C11" s="182">
        <f>+C7-C9</f>
        <v>93400000</v>
      </c>
    </row>
    <row r="12" spans="2:3" x14ac:dyDescent="0.4">
      <c r="B12" s="149"/>
    </row>
    <row r="13" spans="2:3" x14ac:dyDescent="0.4">
      <c r="B13" s="148" t="s">
        <v>113</v>
      </c>
    </row>
    <row r="14" spans="2:3" x14ac:dyDescent="0.4">
      <c r="B14" s="147"/>
    </row>
    <row r="15" spans="2:3" x14ac:dyDescent="0.4">
      <c r="B15" s="148" t="s">
        <v>114</v>
      </c>
    </row>
    <row r="16" spans="2:3" ht="15.4" thickBot="1" x14ac:dyDescent="0.45"/>
    <row r="17" spans="2:7" ht="15.4" thickBot="1" x14ac:dyDescent="0.45">
      <c r="B17" s="150" t="s">
        <v>0</v>
      </c>
      <c r="C17" s="151" t="s">
        <v>7</v>
      </c>
      <c r="D17" s="152" t="s">
        <v>120</v>
      </c>
      <c r="E17" s="185" t="s">
        <v>98</v>
      </c>
    </row>
    <row r="18" spans="2:7" ht="15.4" thickBot="1" x14ac:dyDescent="0.45">
      <c r="B18" s="153" t="s">
        <v>8</v>
      </c>
      <c r="C18" s="154">
        <v>120000000</v>
      </c>
      <c r="D18" s="155">
        <f>+C18*0.18</f>
        <v>21600000</v>
      </c>
      <c r="E18" s="164">
        <f>+C18+D18</f>
        <v>141600000</v>
      </c>
    </row>
    <row r="19" spans="2:7" ht="15.4" thickBot="1" x14ac:dyDescent="0.45">
      <c r="B19" s="153" t="s">
        <v>9</v>
      </c>
      <c r="C19" s="154">
        <v>-20000000</v>
      </c>
      <c r="D19" s="155">
        <f>+C19*0.18</f>
        <v>-3600000</v>
      </c>
      <c r="E19" s="184">
        <f>+C19+D19</f>
        <v>-23600000</v>
      </c>
      <c r="F19" s="152"/>
    </row>
    <row r="20" spans="2:7" ht="15.4" thickBot="1" x14ac:dyDescent="0.45">
      <c r="B20" s="156" t="s">
        <v>10</v>
      </c>
      <c r="C20" s="157">
        <f>SUM(C18:C19)</f>
        <v>100000000</v>
      </c>
      <c r="D20" s="158"/>
      <c r="E20" s="186">
        <f>SUM(E18:E19)</f>
        <v>118000000</v>
      </c>
      <c r="F20" s="160"/>
      <c r="G20" s="158"/>
    </row>
    <row r="21" spans="2:7" ht="15.4" thickBot="1" x14ac:dyDescent="0.45">
      <c r="D21" s="158"/>
      <c r="E21" s="187">
        <f>+E20/5</f>
        <v>23600000</v>
      </c>
      <c r="F21" s="158"/>
      <c r="G21" s="158"/>
    </row>
    <row r="22" spans="2:7" ht="15.4" thickBot="1" x14ac:dyDescent="0.45">
      <c r="B22" s="150" t="s">
        <v>0</v>
      </c>
      <c r="C22" s="151" t="s">
        <v>7</v>
      </c>
      <c r="D22" s="158"/>
      <c r="E22" s="159"/>
      <c r="F22" s="158"/>
      <c r="G22" s="158"/>
    </row>
    <row r="23" spans="2:7" ht="15.4" thickBot="1" x14ac:dyDescent="0.45">
      <c r="B23" s="153" t="s">
        <v>8</v>
      </c>
      <c r="C23" s="154">
        <f>+E18</f>
        <v>141600000</v>
      </c>
      <c r="D23" s="158"/>
      <c r="E23" s="159"/>
      <c r="F23" s="158"/>
      <c r="G23" s="158"/>
    </row>
    <row r="24" spans="2:7" ht="15.4" thickBot="1" x14ac:dyDescent="0.45">
      <c r="B24" s="153" t="s">
        <v>9</v>
      </c>
      <c r="C24" s="154">
        <f>+E19-E21</f>
        <v>-47200000</v>
      </c>
      <c r="D24" s="158"/>
      <c r="E24" s="159"/>
      <c r="F24" s="158"/>
      <c r="G24" s="158"/>
    </row>
    <row r="25" spans="2:7" ht="15.4" thickBot="1" x14ac:dyDescent="0.45">
      <c r="B25" s="156" t="s">
        <v>10</v>
      </c>
      <c r="C25" s="157">
        <f>SUM(C23:C24)</f>
        <v>94400000</v>
      </c>
      <c r="D25" s="158"/>
      <c r="E25" s="159"/>
      <c r="F25" s="158"/>
      <c r="G25" s="158"/>
    </row>
    <row r="26" spans="2:7" x14ac:dyDescent="0.4">
      <c r="B26" s="188"/>
      <c r="C26" s="189"/>
      <c r="D26" s="158"/>
      <c r="E26" s="159"/>
      <c r="F26" s="158"/>
      <c r="G26" s="158"/>
    </row>
    <row r="27" spans="2:7" x14ac:dyDescent="0.4">
      <c r="B27" s="145" t="s">
        <v>69</v>
      </c>
      <c r="D27" s="158"/>
      <c r="E27" s="159"/>
      <c r="F27" s="158"/>
      <c r="G27" s="158"/>
    </row>
    <row r="28" spans="2:7" ht="15.4" thickBot="1" x14ac:dyDescent="0.45"/>
    <row r="29" spans="2:7" ht="15.4" thickBot="1" x14ac:dyDescent="0.45">
      <c r="F29" s="300">
        <v>0.27</v>
      </c>
      <c r="G29" s="301"/>
    </row>
    <row r="30" spans="2:7" ht="15.4" thickBot="1" x14ac:dyDescent="0.45">
      <c r="B30" s="161" t="s">
        <v>0</v>
      </c>
      <c r="C30" s="161" t="s">
        <v>1</v>
      </c>
      <c r="D30" s="161" t="s">
        <v>11</v>
      </c>
      <c r="E30" s="161" t="s">
        <v>12</v>
      </c>
      <c r="F30" s="161" t="s">
        <v>13</v>
      </c>
      <c r="G30" s="161" t="s">
        <v>6</v>
      </c>
    </row>
    <row r="31" spans="2:7" x14ac:dyDescent="0.4">
      <c r="B31" s="162" t="str">
        <f>+B5</f>
        <v>Pérdida Tributaria</v>
      </c>
      <c r="C31" s="162"/>
      <c r="D31" s="162"/>
      <c r="E31" s="163">
        <f>+C11</f>
        <v>93400000</v>
      </c>
      <c r="F31" s="163">
        <f>ROUND(+E31*F29,0)</f>
        <v>25218000</v>
      </c>
      <c r="G31" s="163"/>
    </row>
    <row r="32" spans="2:7" x14ac:dyDescent="0.4">
      <c r="B32" s="162" t="s">
        <v>119</v>
      </c>
      <c r="C32" s="162"/>
      <c r="D32" s="162"/>
      <c r="E32" s="163">
        <v>65000000</v>
      </c>
      <c r="F32" s="163">
        <f>ROUND(+E32*F29,0)</f>
        <v>17550000</v>
      </c>
      <c r="G32" s="163"/>
    </row>
    <row r="33" spans="2:7" x14ac:dyDescent="0.4">
      <c r="B33" s="162" t="str">
        <f>+B23</f>
        <v>Gastos de Organización y Puesta en Marcha</v>
      </c>
      <c r="C33" s="162">
        <v>0</v>
      </c>
      <c r="D33" s="164">
        <f>+C25</f>
        <v>94400000</v>
      </c>
      <c r="E33" s="163">
        <f>+D33</f>
        <v>94400000</v>
      </c>
      <c r="F33" s="163">
        <f>ROUND(+E33*F29,0)</f>
        <v>25488000</v>
      </c>
      <c r="G33" s="163"/>
    </row>
    <row r="34" spans="2:7" ht="15.4" thickBot="1" x14ac:dyDescent="0.45">
      <c r="B34" s="162"/>
      <c r="C34" s="162"/>
      <c r="D34" s="162"/>
      <c r="E34" s="163"/>
      <c r="F34" s="163"/>
      <c r="G34" s="163"/>
    </row>
    <row r="35" spans="2:7" ht="15.4" thickBot="1" x14ac:dyDescent="0.45">
      <c r="B35" s="302" t="s">
        <v>96</v>
      </c>
      <c r="C35" s="303"/>
      <c r="D35" s="303"/>
      <c r="E35" s="304"/>
      <c r="F35" s="165">
        <f>SUM(F31:F34)</f>
        <v>68256000</v>
      </c>
      <c r="G35" s="165"/>
    </row>
    <row r="36" spans="2:7" ht="15.4" thickBot="1" x14ac:dyDescent="0.45"/>
    <row r="37" spans="2:7" ht="15.4" thickBot="1" x14ac:dyDescent="0.45">
      <c r="B37" s="166" t="s">
        <v>3</v>
      </c>
      <c r="C37" s="291" t="s">
        <v>0</v>
      </c>
      <c r="D37" s="292"/>
      <c r="E37" s="293"/>
      <c r="F37" s="167" t="s">
        <v>4</v>
      </c>
      <c r="G37" s="167" t="s">
        <v>5</v>
      </c>
    </row>
    <row r="38" spans="2:7" x14ac:dyDescent="0.4">
      <c r="B38" s="168" t="s">
        <v>26</v>
      </c>
      <c r="C38" s="169" t="s">
        <v>2</v>
      </c>
      <c r="D38" s="169">
        <v>1</v>
      </c>
      <c r="E38" s="170" t="s">
        <v>2</v>
      </c>
      <c r="F38" s="171"/>
      <c r="G38" s="171"/>
    </row>
    <row r="39" spans="2:7" x14ac:dyDescent="0.4">
      <c r="B39" s="168" t="s">
        <v>13</v>
      </c>
      <c r="C39" s="294" t="s">
        <v>101</v>
      </c>
      <c r="D39" s="295"/>
      <c r="E39" s="296"/>
      <c r="F39" s="172">
        <f>+F35</f>
        <v>68256000</v>
      </c>
      <c r="G39" s="173"/>
    </row>
    <row r="40" spans="2:7" x14ac:dyDescent="0.4">
      <c r="B40" s="168" t="s">
        <v>100</v>
      </c>
      <c r="C40" s="297" t="s">
        <v>102</v>
      </c>
      <c r="D40" s="298"/>
      <c r="E40" s="299"/>
      <c r="F40" s="173"/>
      <c r="G40" s="172">
        <f>+F39</f>
        <v>68256000</v>
      </c>
    </row>
    <row r="41" spans="2:7" ht="15.4" thickBot="1" x14ac:dyDescent="0.45">
      <c r="B41" s="174"/>
      <c r="C41" s="175"/>
      <c r="D41" s="175"/>
      <c r="E41" s="176"/>
      <c r="F41" s="176"/>
      <c r="G41" s="176"/>
    </row>
  </sheetData>
  <mergeCells count="5">
    <mergeCell ref="C37:E37"/>
    <mergeCell ref="C39:E39"/>
    <mergeCell ref="C40:E40"/>
    <mergeCell ref="F29:G29"/>
    <mergeCell ref="B35:E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4BB3-0ED8-4A63-A83F-077282EE061C}">
  <dimension ref="B1:I48"/>
  <sheetViews>
    <sheetView showGridLines="0" zoomScale="140" zoomScaleNormal="140" workbookViewId="0">
      <selection activeCell="E45" sqref="E45"/>
    </sheetView>
  </sheetViews>
  <sheetFormatPr baseColWidth="10" defaultColWidth="11.53125" defaultRowHeight="13.5" x14ac:dyDescent="0.35"/>
  <cols>
    <col min="1" max="1" width="3.53125" style="1" customWidth="1"/>
    <col min="2" max="2" width="24.46484375" style="48" customWidth="1"/>
    <col min="3" max="3" width="16.86328125" style="49" customWidth="1"/>
    <col min="4" max="4" width="15.46484375" style="49" customWidth="1"/>
    <col min="5" max="5" width="22.46484375" style="49" customWidth="1"/>
    <col min="6" max="6" width="19.1328125" style="49" customWidth="1"/>
    <col min="7" max="7" width="16.19921875" style="49" customWidth="1"/>
    <col min="8" max="8" width="19.19921875" style="49" customWidth="1"/>
    <col min="9" max="9" width="21.1328125" style="49" customWidth="1"/>
    <col min="10" max="16384" width="11.53125" style="1"/>
  </cols>
  <sheetData>
    <row r="1" spans="2:6" x14ac:dyDescent="0.35">
      <c r="B1" s="2" t="s">
        <v>89</v>
      </c>
    </row>
    <row r="2" spans="2:6" x14ac:dyDescent="0.35">
      <c r="B2" s="9"/>
    </row>
    <row r="3" spans="2:6" x14ac:dyDescent="0.35">
      <c r="B3" s="2" t="s">
        <v>90</v>
      </c>
    </row>
    <row r="4" spans="2:6" ht="7.25" customHeight="1" x14ac:dyDescent="0.35">
      <c r="B4" s="16"/>
    </row>
    <row r="5" spans="2:6" x14ac:dyDescent="0.35">
      <c r="B5" s="66" t="s">
        <v>87</v>
      </c>
    </row>
    <row r="6" spans="2:6" ht="7.8" customHeight="1" thickBot="1" x14ac:dyDescent="0.4">
      <c r="B6" s="16"/>
    </row>
    <row r="7" spans="2:6" ht="13.9" thickBot="1" x14ac:dyDescent="0.4">
      <c r="B7" s="308" t="s">
        <v>71</v>
      </c>
      <c r="C7" s="309"/>
      <c r="E7" s="310" t="s">
        <v>72</v>
      </c>
      <c r="F7" s="311"/>
    </row>
    <row r="8" spans="2:6" x14ac:dyDescent="0.35">
      <c r="B8" s="50" t="s">
        <v>73</v>
      </c>
      <c r="C8" s="20">
        <v>160000000</v>
      </c>
      <c r="E8" s="52" t="s">
        <v>73</v>
      </c>
      <c r="F8" s="20">
        <v>65000000</v>
      </c>
    </row>
    <row r="9" spans="2:6" ht="13.9" thickBot="1" x14ac:dyDescent="0.4">
      <c r="B9" s="51" t="s">
        <v>74</v>
      </c>
      <c r="C9" s="63">
        <v>-25000000</v>
      </c>
      <c r="E9" s="53" t="s">
        <v>74</v>
      </c>
      <c r="F9" s="63">
        <v>-10000000</v>
      </c>
    </row>
    <row r="10" spans="2:6" ht="13.9" thickBot="1" x14ac:dyDescent="0.4">
      <c r="B10" s="64" t="s">
        <v>86</v>
      </c>
      <c r="C10" s="19">
        <f>SUM(C8:C9)</f>
        <v>135000000</v>
      </c>
      <c r="E10" s="65" t="s">
        <v>86</v>
      </c>
      <c r="F10" s="19">
        <f>SUM(F8:F9)</f>
        <v>55000000</v>
      </c>
    </row>
    <row r="11" spans="2:6" ht="13.9" thickBot="1" x14ac:dyDescent="0.4">
      <c r="B11" s="16"/>
    </row>
    <row r="12" spans="2:6" ht="13.9" thickBot="1" x14ac:dyDescent="0.4">
      <c r="B12" s="308" t="s">
        <v>75</v>
      </c>
      <c r="C12" s="309"/>
      <c r="E12" s="310" t="s">
        <v>76</v>
      </c>
      <c r="F12" s="311"/>
    </row>
    <row r="13" spans="2:6" x14ac:dyDescent="0.35">
      <c r="B13" s="60" t="s">
        <v>77</v>
      </c>
      <c r="C13" s="62">
        <v>160000000</v>
      </c>
      <c r="E13" s="58" t="s">
        <v>84</v>
      </c>
      <c r="F13" s="62">
        <v>900000000</v>
      </c>
    </row>
    <row r="14" spans="2:6" x14ac:dyDescent="0.35">
      <c r="B14" s="57" t="s">
        <v>78</v>
      </c>
      <c r="C14" s="20">
        <v>230000000</v>
      </c>
      <c r="E14" s="56" t="s">
        <v>81</v>
      </c>
      <c r="F14" s="20">
        <v>-150000000</v>
      </c>
    </row>
    <row r="15" spans="2:6" ht="13.9" thickBot="1" x14ac:dyDescent="0.4">
      <c r="B15" s="57" t="s">
        <v>79</v>
      </c>
      <c r="C15" s="20">
        <v>150000000</v>
      </c>
      <c r="E15" s="59" t="s">
        <v>82</v>
      </c>
      <c r="F15" s="63">
        <v>-320000000</v>
      </c>
    </row>
    <row r="16" spans="2:6" ht="13.9" thickBot="1" x14ac:dyDescent="0.4">
      <c r="B16" s="61" t="s">
        <v>80</v>
      </c>
      <c r="C16" s="63">
        <v>60000000</v>
      </c>
      <c r="E16" s="59" t="s">
        <v>83</v>
      </c>
      <c r="F16" s="63">
        <f>SUM(F13:F15)</f>
        <v>430000000</v>
      </c>
    </row>
    <row r="17" spans="2:7" ht="13.9" thickBot="1" x14ac:dyDescent="0.4">
      <c r="B17" s="51" t="s">
        <v>85</v>
      </c>
      <c r="C17" s="63">
        <f>SUM(C13:C16)</f>
        <v>600000000</v>
      </c>
      <c r="E17" s="1"/>
      <c r="F17" s="1"/>
    </row>
    <row r="18" spans="2:7" ht="13.9" thickBot="1" x14ac:dyDescent="0.4">
      <c r="B18" s="16"/>
    </row>
    <row r="19" spans="2:7" ht="13.9" thickBot="1" x14ac:dyDescent="0.4">
      <c r="B19" s="310" t="s">
        <v>18</v>
      </c>
      <c r="C19" s="311"/>
    </row>
    <row r="20" spans="2:7" ht="13.9" thickBot="1" x14ac:dyDescent="0.4">
      <c r="B20" s="72">
        <v>1</v>
      </c>
      <c r="C20" s="62">
        <v>220000000</v>
      </c>
      <c r="E20" s="49">
        <v>1</v>
      </c>
      <c r="F20" s="49">
        <f>+C23</f>
        <v>190000000</v>
      </c>
    </row>
    <row r="21" spans="2:7" x14ac:dyDescent="0.35">
      <c r="B21" s="50">
        <v>2</v>
      </c>
      <c r="C21" s="20">
        <v>250000000</v>
      </c>
      <c r="E21" s="198">
        <v>2</v>
      </c>
      <c r="F21" s="73">
        <f>+C20</f>
        <v>220000000</v>
      </c>
    </row>
    <row r="22" spans="2:7" x14ac:dyDescent="0.35">
      <c r="B22" s="50">
        <v>3</v>
      </c>
      <c r="C22" s="20">
        <v>280000000</v>
      </c>
      <c r="E22" s="199">
        <v>3</v>
      </c>
      <c r="F22" s="74">
        <f>+C24</f>
        <v>240000000</v>
      </c>
      <c r="G22" s="49">
        <f>ROUND(+(F21+F22+F23)/3,0)</f>
        <v>236666667</v>
      </c>
    </row>
    <row r="23" spans="2:7" ht="13.9" thickBot="1" x14ac:dyDescent="0.4">
      <c r="B23" s="50">
        <v>4</v>
      </c>
      <c r="C23" s="20">
        <v>190000000</v>
      </c>
      <c r="E23" s="200">
        <v>4</v>
      </c>
      <c r="F23" s="75">
        <f>+C21</f>
        <v>250000000</v>
      </c>
    </row>
    <row r="24" spans="2:7" ht="13.9" thickBot="1" x14ac:dyDescent="0.4">
      <c r="B24" s="51">
        <v>5</v>
      </c>
      <c r="C24" s="63">
        <v>240000000</v>
      </c>
      <c r="E24" s="49">
        <v>5</v>
      </c>
      <c r="F24" s="49">
        <f>+C22</f>
        <v>280000000</v>
      </c>
    </row>
    <row r="25" spans="2:7" x14ac:dyDescent="0.35">
      <c r="B25" s="16"/>
    </row>
    <row r="26" spans="2:7" x14ac:dyDescent="0.35">
      <c r="B26" s="16"/>
    </row>
    <row r="27" spans="2:7" x14ac:dyDescent="0.35">
      <c r="B27" s="2" t="s">
        <v>88</v>
      </c>
    </row>
    <row r="28" spans="2:7" ht="13.9" thickBot="1" x14ac:dyDescent="0.4"/>
    <row r="29" spans="2:7" ht="13.9" thickBot="1" x14ac:dyDescent="0.4">
      <c r="B29" s="190" t="s">
        <v>3</v>
      </c>
      <c r="C29" s="312" t="s">
        <v>0</v>
      </c>
      <c r="D29" s="313"/>
      <c r="E29" s="314"/>
      <c r="F29" s="191" t="s">
        <v>4</v>
      </c>
      <c r="G29" s="191" t="s">
        <v>5</v>
      </c>
    </row>
    <row r="30" spans="2:7" x14ac:dyDescent="0.35">
      <c r="B30" s="107" t="s">
        <v>26</v>
      </c>
      <c r="C30" s="104" t="s">
        <v>2</v>
      </c>
      <c r="D30" s="104">
        <v>1</v>
      </c>
      <c r="E30" s="105" t="s">
        <v>2</v>
      </c>
      <c r="F30" s="195"/>
      <c r="G30" s="195"/>
    </row>
    <row r="31" spans="2:7" x14ac:dyDescent="0.35">
      <c r="B31" s="107" t="s">
        <v>13</v>
      </c>
      <c r="C31" s="273" t="s">
        <v>121</v>
      </c>
      <c r="D31" s="274"/>
      <c r="E31" s="275"/>
      <c r="F31" s="196">
        <f>+C17</f>
        <v>600000000</v>
      </c>
      <c r="G31" s="196"/>
    </row>
    <row r="32" spans="2:7" x14ac:dyDescent="0.35">
      <c r="B32" s="107" t="s">
        <v>13</v>
      </c>
      <c r="C32" s="305" t="s">
        <v>123</v>
      </c>
      <c r="D32" s="306"/>
      <c r="E32" s="307"/>
      <c r="F32" s="196">
        <f>+G33-F31</f>
        <v>350000000</v>
      </c>
      <c r="G32" s="196"/>
    </row>
    <row r="33" spans="2:9" x14ac:dyDescent="0.35">
      <c r="B33" s="107" t="s">
        <v>6</v>
      </c>
      <c r="C33" s="284" t="s">
        <v>122</v>
      </c>
      <c r="D33" s="285"/>
      <c r="E33" s="286"/>
      <c r="F33" s="195"/>
      <c r="G33" s="195">
        <v>950000000</v>
      </c>
    </row>
    <row r="34" spans="2:9" ht="13.9" thickBot="1" x14ac:dyDescent="0.4">
      <c r="B34" s="192"/>
      <c r="C34" s="193"/>
      <c r="D34" s="193"/>
      <c r="E34" s="194"/>
      <c r="F34" s="197"/>
      <c r="G34" s="197"/>
    </row>
    <row r="37" spans="2:9" x14ac:dyDescent="0.35">
      <c r="B37" s="48" t="s">
        <v>124</v>
      </c>
    </row>
    <row r="38" spans="2:9" ht="3.6" customHeight="1" x14ac:dyDescent="0.35"/>
    <row r="39" spans="2:9" x14ac:dyDescent="0.35">
      <c r="B39" s="48" t="str">
        <f>+B5</f>
        <v>a) Valor de adquisición $950.000.000</v>
      </c>
    </row>
    <row r="40" spans="2:9" ht="13.9" thickBot="1" x14ac:dyDescent="0.4">
      <c r="B40" s="201" t="str">
        <f>+E12</f>
        <v>Capital Propio Tributario</v>
      </c>
      <c r="C40" s="49">
        <f>+F16</f>
        <v>430000000</v>
      </c>
    </row>
    <row r="41" spans="2:9" ht="13.9" thickBot="1" x14ac:dyDescent="0.4">
      <c r="B41" s="202" t="str">
        <f>+B37</f>
        <v>Goodwill Tributario</v>
      </c>
      <c r="C41" s="203">
        <f>950000000-430000000</f>
        <v>520000000</v>
      </c>
    </row>
    <row r="42" spans="2:9" ht="13.9" thickBot="1" x14ac:dyDescent="0.4"/>
    <row r="43" spans="2:9" ht="27.4" thickBot="1" x14ac:dyDescent="0.4">
      <c r="B43" s="67" t="s">
        <v>15</v>
      </c>
      <c r="C43" s="68" t="s">
        <v>16</v>
      </c>
      <c r="D43" s="68" t="s">
        <v>17</v>
      </c>
      <c r="E43" s="68" t="s">
        <v>18</v>
      </c>
      <c r="F43" s="68" t="s">
        <v>19</v>
      </c>
      <c r="G43" s="68" t="s">
        <v>20</v>
      </c>
      <c r="H43" s="68" t="s">
        <v>21</v>
      </c>
      <c r="I43" s="68" t="s">
        <v>22</v>
      </c>
    </row>
    <row r="44" spans="2:9" ht="18.600000000000001" customHeight="1" thickBot="1" x14ac:dyDescent="0.4">
      <c r="B44" s="22" t="s">
        <v>23</v>
      </c>
      <c r="C44" s="54" t="s">
        <v>73</v>
      </c>
      <c r="D44" s="55">
        <f>+F10</f>
        <v>55000000</v>
      </c>
      <c r="E44" s="55">
        <f>+G22</f>
        <v>236666667</v>
      </c>
      <c r="F44" s="55">
        <f>+C41</f>
        <v>520000000</v>
      </c>
      <c r="G44" s="55">
        <f>+D44+F44</f>
        <v>575000000</v>
      </c>
      <c r="H44" s="55"/>
      <c r="I44" s="55"/>
    </row>
    <row r="45" spans="2:9" ht="18.600000000000001" customHeight="1" thickBot="1" x14ac:dyDescent="0.4">
      <c r="B45" s="22" t="s">
        <v>24</v>
      </c>
      <c r="C45" s="54" t="str">
        <f t="shared" ref="C45:E46" si="0">+C44</f>
        <v>Edificio</v>
      </c>
      <c r="D45" s="204">
        <f t="shared" si="0"/>
        <v>55000000</v>
      </c>
      <c r="E45" s="55">
        <f t="shared" si="0"/>
        <v>236666667</v>
      </c>
      <c r="F45" s="204">
        <f>+E45-D45</f>
        <v>181666667</v>
      </c>
      <c r="G45" s="55">
        <f>+F45+D45</f>
        <v>236666667</v>
      </c>
      <c r="H45" s="55">
        <f>+C41-F45</f>
        <v>338333333</v>
      </c>
      <c r="I45" s="55"/>
    </row>
    <row r="46" spans="2:9" ht="18.600000000000001" customHeight="1" thickBot="1" x14ac:dyDescent="0.4">
      <c r="B46" s="22" t="s">
        <v>25</v>
      </c>
      <c r="C46" s="54" t="str">
        <f t="shared" si="0"/>
        <v>Edificio</v>
      </c>
      <c r="D46" s="55">
        <f t="shared" si="0"/>
        <v>55000000</v>
      </c>
      <c r="E46" s="55">
        <f t="shared" si="0"/>
        <v>236666667</v>
      </c>
      <c r="F46" s="55">
        <f>+E46-D46</f>
        <v>181666667</v>
      </c>
      <c r="G46" s="55">
        <f>+D46+F46</f>
        <v>236666667</v>
      </c>
      <c r="H46" s="55"/>
      <c r="I46" s="55">
        <f>+C41-F46</f>
        <v>338333333</v>
      </c>
    </row>
    <row r="48" spans="2:9" x14ac:dyDescent="0.35">
      <c r="E48" s="49">
        <f>+E45-D45</f>
        <v>181666667</v>
      </c>
      <c r="H48" s="49">
        <f>+C41-E48</f>
        <v>338333333</v>
      </c>
    </row>
  </sheetData>
  <mergeCells count="9">
    <mergeCell ref="C32:E32"/>
    <mergeCell ref="C33:E33"/>
    <mergeCell ref="B7:C7"/>
    <mergeCell ref="E7:F7"/>
    <mergeCell ref="B12:C12"/>
    <mergeCell ref="E12:F12"/>
    <mergeCell ref="C29:E29"/>
    <mergeCell ref="C31:E31"/>
    <mergeCell ref="B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B3495-7688-4D6C-A60C-C0B7D703A9D3}">
  <dimension ref="B1:J180"/>
  <sheetViews>
    <sheetView showGridLines="0" topLeftCell="C59" zoomScale="150" zoomScaleNormal="150" workbookViewId="0">
      <selection activeCell="E14" sqref="E8:G14"/>
    </sheetView>
  </sheetViews>
  <sheetFormatPr baseColWidth="10" defaultColWidth="11.53125" defaultRowHeight="13.5" x14ac:dyDescent="0.35"/>
  <cols>
    <col min="1" max="1" width="5.6640625" style="1" customWidth="1"/>
    <col min="2" max="2" width="18.6640625" style="1" customWidth="1"/>
    <col min="3" max="3" width="16.1328125" style="1" customWidth="1"/>
    <col min="4" max="4" width="27.6640625" style="1" customWidth="1"/>
    <col min="5" max="5" width="17.796875" style="1" bestFit="1" customWidth="1"/>
    <col min="6" max="6" width="19.46484375" style="1" customWidth="1"/>
    <col min="7" max="7" width="20.53125" style="1" customWidth="1"/>
    <col min="8" max="8" width="13.19921875" style="1" customWidth="1"/>
    <col min="9" max="9" width="15.1328125" style="49" customWidth="1"/>
    <col min="10" max="10" width="20" style="1" customWidth="1"/>
    <col min="11" max="16384" width="11.53125" style="1"/>
  </cols>
  <sheetData>
    <row r="1" spans="2:10" ht="13.9" thickBot="1" x14ac:dyDescent="0.4"/>
    <row r="2" spans="2:10" ht="13.9" thickBot="1" x14ac:dyDescent="0.4">
      <c r="B2" s="256" t="s">
        <v>27</v>
      </c>
      <c r="C2" s="257"/>
      <c r="D2" s="257"/>
      <c r="E2" s="257"/>
      <c r="F2" s="257"/>
      <c r="G2" s="258"/>
    </row>
    <row r="3" spans="2:10" ht="13.9" thickBot="1" x14ac:dyDescent="0.4"/>
    <row r="4" spans="2:10" ht="13.9" thickBot="1" x14ac:dyDescent="0.4">
      <c r="B4" s="259" t="s">
        <v>28</v>
      </c>
      <c r="C4" s="260"/>
      <c r="D4" s="260"/>
      <c r="E4" s="260"/>
      <c r="F4" s="260"/>
      <c r="G4" s="261"/>
    </row>
    <row r="5" spans="2:10" ht="13.9" thickBot="1" x14ac:dyDescent="0.4"/>
    <row r="6" spans="2:10" ht="13.9" thickBot="1" x14ac:dyDescent="0.4">
      <c r="B6" s="29" t="s">
        <v>29</v>
      </c>
      <c r="C6" s="11" t="s">
        <v>0</v>
      </c>
      <c r="D6" s="11" t="s">
        <v>30</v>
      </c>
      <c r="E6" s="11" t="s">
        <v>7</v>
      </c>
      <c r="F6" s="11" t="s">
        <v>1</v>
      </c>
      <c r="G6" s="11" t="s">
        <v>31</v>
      </c>
      <c r="H6" s="25" t="s">
        <v>126</v>
      </c>
      <c r="I6" s="206" t="s">
        <v>105</v>
      </c>
      <c r="J6" s="207" t="s">
        <v>98</v>
      </c>
    </row>
    <row r="7" spans="2:10" ht="13.9" thickBot="1" x14ac:dyDescent="0.4">
      <c r="B7" s="42" t="s">
        <v>91</v>
      </c>
      <c r="C7" s="23" t="s">
        <v>33</v>
      </c>
      <c r="D7" s="30" t="s">
        <v>34</v>
      </c>
      <c r="E7" s="24">
        <v>5600000</v>
      </c>
      <c r="F7" s="30" t="s">
        <v>125</v>
      </c>
      <c r="G7" s="30" t="s">
        <v>13</v>
      </c>
      <c r="H7" s="205">
        <f>+C56</f>
        <v>1.7000000000000001E-2</v>
      </c>
      <c r="I7" s="49">
        <f>ROUND(+E7*H7,0)</f>
        <v>95200</v>
      </c>
      <c r="J7" s="117">
        <f>+E7+I7</f>
        <v>5695200</v>
      </c>
    </row>
    <row r="8" spans="2:10" ht="27.4" thickBot="1" x14ac:dyDescent="0.4">
      <c r="B8" s="42" t="s">
        <v>91</v>
      </c>
      <c r="C8" s="23" t="s">
        <v>35</v>
      </c>
      <c r="D8" s="30" t="s">
        <v>36</v>
      </c>
      <c r="E8" s="24">
        <v>8500000</v>
      </c>
      <c r="F8" s="30" t="s">
        <v>94</v>
      </c>
      <c r="G8" s="30" t="s">
        <v>13</v>
      </c>
      <c r="H8" s="205">
        <f>+H7</f>
        <v>1.7000000000000001E-2</v>
      </c>
      <c r="I8" s="49">
        <f t="shared" ref="I8:I15" si="0">ROUND(+E8*H8,0)</f>
        <v>144500</v>
      </c>
      <c r="J8" s="21">
        <f t="shared" ref="J8:J18" si="1">+E8+I8</f>
        <v>8644500</v>
      </c>
    </row>
    <row r="9" spans="2:10" ht="13.9" thickBot="1" x14ac:dyDescent="0.4">
      <c r="B9" s="42" t="s">
        <v>37</v>
      </c>
      <c r="C9" s="23" t="s">
        <v>38</v>
      </c>
      <c r="D9" s="30" t="s">
        <v>39</v>
      </c>
      <c r="E9" s="24">
        <v>3500000</v>
      </c>
      <c r="F9" s="30" t="s">
        <v>94</v>
      </c>
      <c r="G9" s="30" t="s">
        <v>13</v>
      </c>
      <c r="H9" s="205">
        <f>+C57</f>
        <v>1.4999999999999999E-2</v>
      </c>
      <c r="I9" s="49">
        <f t="shared" si="0"/>
        <v>52500</v>
      </c>
      <c r="J9" s="21">
        <f t="shared" si="1"/>
        <v>3552500</v>
      </c>
    </row>
    <row r="10" spans="2:10" ht="13.9" thickBot="1" x14ac:dyDescent="0.4">
      <c r="B10" s="42" t="s">
        <v>40</v>
      </c>
      <c r="C10" s="23" t="s">
        <v>41</v>
      </c>
      <c r="D10" s="30" t="s">
        <v>42</v>
      </c>
      <c r="E10" s="24">
        <v>20500000</v>
      </c>
      <c r="F10" s="30" t="s">
        <v>94</v>
      </c>
      <c r="G10" s="30" t="s">
        <v>13</v>
      </c>
      <c r="H10" s="205">
        <f>+H9</f>
        <v>1.4999999999999999E-2</v>
      </c>
      <c r="I10" s="49">
        <f t="shared" si="0"/>
        <v>307500</v>
      </c>
      <c r="J10" s="21">
        <f t="shared" si="1"/>
        <v>20807500</v>
      </c>
    </row>
    <row r="11" spans="2:10" ht="13.9" thickBot="1" x14ac:dyDescent="0.4">
      <c r="B11" s="42" t="s">
        <v>43</v>
      </c>
      <c r="C11" s="23" t="s">
        <v>44</v>
      </c>
      <c r="D11" s="30" t="s">
        <v>45</v>
      </c>
      <c r="E11" s="24">
        <v>8800000</v>
      </c>
      <c r="F11" s="30" t="s">
        <v>94</v>
      </c>
      <c r="G11" s="30" t="s">
        <v>13</v>
      </c>
      <c r="H11" s="205">
        <f>+C58</f>
        <v>0.01</v>
      </c>
      <c r="I11" s="49">
        <f t="shared" si="0"/>
        <v>88000</v>
      </c>
      <c r="J11" s="21">
        <f t="shared" si="1"/>
        <v>8888000</v>
      </c>
    </row>
    <row r="12" spans="2:10" ht="13.9" thickBot="1" x14ac:dyDescent="0.4">
      <c r="B12" s="42" t="s">
        <v>59</v>
      </c>
      <c r="C12" s="23" t="s">
        <v>35</v>
      </c>
      <c r="D12" s="30" t="s">
        <v>46</v>
      </c>
      <c r="E12" s="24">
        <v>1900000</v>
      </c>
      <c r="F12" s="30" t="s">
        <v>94</v>
      </c>
      <c r="G12" s="30" t="s">
        <v>13</v>
      </c>
      <c r="H12" s="205">
        <f>+H11</f>
        <v>0.01</v>
      </c>
      <c r="I12" s="49">
        <f t="shared" si="0"/>
        <v>19000</v>
      </c>
      <c r="J12" s="21">
        <f t="shared" si="1"/>
        <v>1919000</v>
      </c>
    </row>
    <row r="13" spans="2:10" ht="13.9" thickBot="1" x14ac:dyDescent="0.4">
      <c r="B13" s="42" t="s">
        <v>60</v>
      </c>
      <c r="C13" s="23" t="s">
        <v>47</v>
      </c>
      <c r="D13" s="30" t="s">
        <v>48</v>
      </c>
      <c r="E13" s="24">
        <v>3500000</v>
      </c>
      <c r="F13" s="30" t="s">
        <v>94</v>
      </c>
      <c r="G13" s="30" t="s">
        <v>13</v>
      </c>
      <c r="H13" s="205">
        <f>+H12</f>
        <v>0.01</v>
      </c>
      <c r="I13" s="49">
        <f t="shared" si="0"/>
        <v>35000</v>
      </c>
      <c r="J13" s="21">
        <f t="shared" si="1"/>
        <v>3535000</v>
      </c>
    </row>
    <row r="14" spans="2:10" ht="13.9" thickBot="1" x14ac:dyDescent="0.4">
      <c r="B14" s="42" t="s">
        <v>61</v>
      </c>
      <c r="C14" s="23" t="s">
        <v>38</v>
      </c>
      <c r="D14" s="30" t="s">
        <v>39</v>
      </c>
      <c r="E14" s="24">
        <v>3500000</v>
      </c>
      <c r="F14" s="30" t="s">
        <v>94</v>
      </c>
      <c r="G14" s="30" t="s">
        <v>13</v>
      </c>
      <c r="H14" s="205">
        <f>+H13</f>
        <v>0.01</v>
      </c>
      <c r="I14" s="49">
        <f t="shared" si="0"/>
        <v>35000</v>
      </c>
      <c r="J14" s="21">
        <f t="shared" si="1"/>
        <v>3535000</v>
      </c>
    </row>
    <row r="15" spans="2:10" ht="13.9" thickBot="1" x14ac:dyDescent="0.4">
      <c r="B15" s="42" t="s">
        <v>63</v>
      </c>
      <c r="C15" s="23" t="s">
        <v>51</v>
      </c>
      <c r="D15" s="30" t="s">
        <v>52</v>
      </c>
      <c r="E15" s="24">
        <v>1450000</v>
      </c>
      <c r="F15" s="30" t="s">
        <v>94</v>
      </c>
      <c r="G15" s="30" t="s">
        <v>13</v>
      </c>
      <c r="H15" s="205">
        <f>+H12</f>
        <v>0.01</v>
      </c>
      <c r="I15" s="49">
        <f t="shared" si="0"/>
        <v>14500</v>
      </c>
      <c r="J15" s="21">
        <f t="shared" si="1"/>
        <v>1464500</v>
      </c>
    </row>
    <row r="16" spans="2:10" ht="13.9" thickBot="1" x14ac:dyDescent="0.4">
      <c r="B16" s="42" t="s">
        <v>64</v>
      </c>
      <c r="C16" s="23" t="s">
        <v>35</v>
      </c>
      <c r="D16" s="30" t="s">
        <v>46</v>
      </c>
      <c r="E16" s="24">
        <v>1900000</v>
      </c>
      <c r="F16" s="30" t="s">
        <v>94</v>
      </c>
      <c r="G16" s="30" t="s">
        <v>13</v>
      </c>
      <c r="I16" s="49">
        <v>0</v>
      </c>
      <c r="J16" s="21">
        <f t="shared" si="1"/>
        <v>1900000</v>
      </c>
    </row>
    <row r="17" spans="2:10" ht="13.9" thickBot="1" x14ac:dyDescent="0.4">
      <c r="B17" s="42" t="s">
        <v>65</v>
      </c>
      <c r="C17" s="23" t="s">
        <v>53</v>
      </c>
      <c r="D17" s="30" t="s">
        <v>54</v>
      </c>
      <c r="E17" s="24">
        <v>3000000</v>
      </c>
      <c r="F17" s="30" t="s">
        <v>94</v>
      </c>
      <c r="G17" s="30" t="s">
        <v>13</v>
      </c>
      <c r="I17" s="49">
        <v>0</v>
      </c>
      <c r="J17" s="21">
        <f t="shared" si="1"/>
        <v>3000000</v>
      </c>
    </row>
    <row r="18" spans="2:10" ht="13.9" thickBot="1" x14ac:dyDescent="0.4">
      <c r="B18" s="42" t="s">
        <v>66</v>
      </c>
      <c r="C18" s="23" t="s">
        <v>38</v>
      </c>
      <c r="D18" s="30" t="s">
        <v>39</v>
      </c>
      <c r="E18" s="24">
        <v>3500000</v>
      </c>
      <c r="F18" s="30" t="s">
        <v>94</v>
      </c>
      <c r="G18" s="30" t="s">
        <v>13</v>
      </c>
      <c r="I18" s="49">
        <v>0</v>
      </c>
      <c r="J18" s="118">
        <f t="shared" si="1"/>
        <v>3500000</v>
      </c>
    </row>
    <row r="19" spans="2:10" ht="13.9" thickBot="1" x14ac:dyDescent="0.4">
      <c r="B19" s="42" t="s">
        <v>67</v>
      </c>
      <c r="C19" s="23" t="s">
        <v>49</v>
      </c>
      <c r="D19" s="30" t="s">
        <v>50</v>
      </c>
      <c r="E19" s="24">
        <v>10500000</v>
      </c>
      <c r="F19" s="30" t="s">
        <v>95</v>
      </c>
      <c r="G19" s="30" t="s">
        <v>95</v>
      </c>
      <c r="J19" s="94">
        <f>SUM(J7:J18)</f>
        <v>66441200</v>
      </c>
    </row>
    <row r="20" spans="2:10" ht="13.9" thickBot="1" x14ac:dyDescent="0.4">
      <c r="B20" s="104"/>
      <c r="C20" s="209"/>
      <c r="D20" s="104"/>
      <c r="E20" s="210"/>
      <c r="F20" s="104"/>
      <c r="G20" s="104"/>
      <c r="J20" s="211"/>
    </row>
    <row r="21" spans="2:10" ht="13.9" thickBot="1" x14ac:dyDescent="0.4">
      <c r="B21" s="96" t="s">
        <v>127</v>
      </c>
    </row>
    <row r="22" spans="2:10" ht="13.9" thickBot="1" x14ac:dyDescent="0.4">
      <c r="B22" s="208" t="s">
        <v>8</v>
      </c>
      <c r="C22" s="97"/>
      <c r="D22" s="91"/>
      <c r="E22" s="93">
        <f>+J19</f>
        <v>66441200</v>
      </c>
    </row>
    <row r="23" spans="2:10" ht="13.9" thickBot="1" x14ac:dyDescent="0.4">
      <c r="B23" s="99" t="s">
        <v>9</v>
      </c>
      <c r="C23" s="100"/>
      <c r="D23" s="212"/>
      <c r="E23" s="101">
        <f>ROUND(+E22/6,0)*-1</f>
        <v>-11073533</v>
      </c>
    </row>
    <row r="24" spans="2:10" ht="13.9" thickBot="1" x14ac:dyDescent="0.4">
      <c r="B24" s="208" t="s">
        <v>86</v>
      </c>
      <c r="C24" s="213"/>
      <c r="D24" s="214"/>
      <c r="E24" s="218">
        <f>+E22+E23</f>
        <v>55367667</v>
      </c>
    </row>
    <row r="25" spans="2:10" ht="13.9" thickBot="1" x14ac:dyDescent="0.4"/>
    <row r="26" spans="2:10" ht="13.9" thickBot="1" x14ac:dyDescent="0.4">
      <c r="B26" s="96" t="s">
        <v>128</v>
      </c>
      <c r="F26" s="25" t="s">
        <v>97</v>
      </c>
      <c r="G26" s="92" t="s">
        <v>98</v>
      </c>
      <c r="H26" s="92" t="s">
        <v>129</v>
      </c>
      <c r="I26" s="219" t="s">
        <v>20</v>
      </c>
    </row>
    <row r="27" spans="2:10" ht="13.9" thickBot="1" x14ac:dyDescent="0.4">
      <c r="B27" s="208" t="s">
        <v>8</v>
      </c>
      <c r="C27" s="97"/>
      <c r="D27" s="91"/>
      <c r="E27" s="93">
        <f>+E22</f>
        <v>66441200</v>
      </c>
      <c r="F27" s="49">
        <f>ROUND(+E27*C60,0)</f>
        <v>3986472</v>
      </c>
      <c r="G27" s="21">
        <f>+E27+F27</f>
        <v>70427672</v>
      </c>
      <c r="H27" s="18"/>
      <c r="I27" s="62">
        <f>+G27</f>
        <v>70427672</v>
      </c>
    </row>
    <row r="28" spans="2:10" ht="13.9" thickBot="1" x14ac:dyDescent="0.4">
      <c r="B28" s="99" t="s">
        <v>9</v>
      </c>
      <c r="C28" s="100"/>
      <c r="D28" s="212"/>
      <c r="E28" s="101">
        <f>ROUND(+E27/6,0)*-1</f>
        <v>-11073533</v>
      </c>
      <c r="F28" s="49">
        <f>ROUND(+E28*0.06,0)</f>
        <v>-664412</v>
      </c>
      <c r="G28" s="215">
        <f>+E28+F28</f>
        <v>-11737945</v>
      </c>
      <c r="H28" s="18"/>
      <c r="I28" s="63">
        <f>+G28-H29</f>
        <v>-23475890</v>
      </c>
    </row>
    <row r="29" spans="2:10" ht="13.9" thickBot="1" x14ac:dyDescent="0.4">
      <c r="B29" s="208" t="s">
        <v>86</v>
      </c>
      <c r="C29" s="213"/>
      <c r="D29" s="214"/>
      <c r="E29" s="94">
        <f>+E27+E28</f>
        <v>55367667</v>
      </c>
      <c r="G29" s="93">
        <f>+G27+G28</f>
        <v>58689727</v>
      </c>
      <c r="H29" s="216">
        <f>ROUND(+G29/5,0)</f>
        <v>11737945</v>
      </c>
      <c r="I29" s="217">
        <f>SUM(I27:I28)</f>
        <v>46951782</v>
      </c>
    </row>
    <row r="30" spans="2:10" ht="13.9" thickBot="1" x14ac:dyDescent="0.4"/>
    <row r="31" spans="2:10" ht="13.9" thickBot="1" x14ac:dyDescent="0.4">
      <c r="B31" s="96" t="s">
        <v>130</v>
      </c>
      <c r="F31" s="25" t="s">
        <v>97</v>
      </c>
      <c r="G31" s="92" t="s">
        <v>98</v>
      </c>
      <c r="H31" s="92" t="s">
        <v>129</v>
      </c>
      <c r="I31" s="219" t="s">
        <v>20</v>
      </c>
    </row>
    <row r="32" spans="2:10" ht="13.9" thickBot="1" x14ac:dyDescent="0.4">
      <c r="B32" s="208" t="s">
        <v>8</v>
      </c>
      <c r="C32" s="97"/>
      <c r="D32" s="91"/>
      <c r="E32" s="93">
        <f>+I27</f>
        <v>70427672</v>
      </c>
      <c r="F32" s="49">
        <f>ROUND(+E32*C61,0)</f>
        <v>2112830</v>
      </c>
      <c r="G32" s="21">
        <f>+E32+F32</f>
        <v>72540502</v>
      </c>
      <c r="H32" s="18"/>
      <c r="I32" s="62">
        <f>+G32</f>
        <v>72540502</v>
      </c>
    </row>
    <row r="33" spans="2:9" ht="13.9" thickBot="1" x14ac:dyDescent="0.4">
      <c r="B33" s="99" t="s">
        <v>9</v>
      </c>
      <c r="C33" s="100"/>
      <c r="D33" s="212"/>
      <c r="E33" s="101">
        <f>+I28</f>
        <v>-23475890</v>
      </c>
      <c r="F33" s="49">
        <f>ROUND(+E33*0.03,0)</f>
        <v>-704277</v>
      </c>
      <c r="G33" s="215">
        <f>+E33+F33</f>
        <v>-24180167</v>
      </c>
      <c r="H33" s="18"/>
      <c r="I33" s="63">
        <f>+G33-H34</f>
        <v>-36270251</v>
      </c>
    </row>
    <row r="34" spans="2:9" ht="13.9" thickBot="1" x14ac:dyDescent="0.4">
      <c r="B34" s="208" t="s">
        <v>86</v>
      </c>
      <c r="C34" s="213"/>
      <c r="D34" s="214"/>
      <c r="E34" s="94">
        <f>+E32+E33</f>
        <v>46951782</v>
      </c>
      <c r="G34" s="93">
        <f>+G32+G33</f>
        <v>48360335</v>
      </c>
      <c r="H34" s="216">
        <f>ROUND(+G34/4,0)</f>
        <v>12090084</v>
      </c>
      <c r="I34" s="217">
        <f>SUM(I32:I33)</f>
        <v>36270251</v>
      </c>
    </row>
    <row r="35" spans="2:9" ht="13.9" thickBot="1" x14ac:dyDescent="0.4"/>
    <row r="36" spans="2:9" ht="13.9" thickBot="1" x14ac:dyDescent="0.4">
      <c r="B36" s="96" t="s">
        <v>131</v>
      </c>
      <c r="F36" s="25" t="s">
        <v>97</v>
      </c>
      <c r="G36" s="92" t="s">
        <v>98</v>
      </c>
      <c r="H36" s="92" t="s">
        <v>129</v>
      </c>
      <c r="I36" s="219" t="s">
        <v>20</v>
      </c>
    </row>
    <row r="37" spans="2:9" ht="13.9" thickBot="1" x14ac:dyDescent="0.4">
      <c r="B37" s="208" t="s">
        <v>8</v>
      </c>
      <c r="C37" s="97"/>
      <c r="D37" s="91"/>
      <c r="E37" s="93">
        <f>+I32</f>
        <v>72540502</v>
      </c>
      <c r="F37" s="49">
        <f>ROUND(+E37*C62,0)</f>
        <v>1668432</v>
      </c>
      <c r="G37" s="21">
        <f>+E37+F37</f>
        <v>74208934</v>
      </c>
      <c r="H37" s="18"/>
      <c r="I37" s="62">
        <f>+G37</f>
        <v>74208934</v>
      </c>
    </row>
    <row r="38" spans="2:9" ht="13.9" thickBot="1" x14ac:dyDescent="0.4">
      <c r="B38" s="99" t="s">
        <v>9</v>
      </c>
      <c r="C38" s="100"/>
      <c r="D38" s="212"/>
      <c r="E38" s="101">
        <f>+I33</f>
        <v>-36270251</v>
      </c>
      <c r="F38" s="49">
        <f>ROUND(+E38*0.023,0)</f>
        <v>-834216</v>
      </c>
      <c r="G38" s="215">
        <f>+E38+F38</f>
        <v>-37104467</v>
      </c>
      <c r="H38" s="18"/>
      <c r="I38" s="63">
        <f>+G38-H39</f>
        <v>-49472623</v>
      </c>
    </row>
    <row r="39" spans="2:9" ht="13.9" thickBot="1" x14ac:dyDescent="0.4">
      <c r="B39" s="208" t="s">
        <v>86</v>
      </c>
      <c r="C39" s="213"/>
      <c r="D39" s="214"/>
      <c r="E39" s="94">
        <f>+E37+E38</f>
        <v>36270251</v>
      </c>
      <c r="G39" s="93">
        <f>+G37+G38</f>
        <v>37104467</v>
      </c>
      <c r="H39" s="216">
        <f>ROUND(+G39/3,0)</f>
        <v>12368156</v>
      </c>
      <c r="I39" s="217">
        <f>SUM(I37:I38)</f>
        <v>24736311</v>
      </c>
    </row>
    <row r="40" spans="2:9" ht="13.9" thickBot="1" x14ac:dyDescent="0.4"/>
    <row r="41" spans="2:9" ht="13.9" thickBot="1" x14ac:dyDescent="0.4">
      <c r="B41" s="96" t="s">
        <v>132</v>
      </c>
      <c r="F41" s="25" t="s">
        <v>97</v>
      </c>
      <c r="G41" s="92" t="s">
        <v>98</v>
      </c>
      <c r="H41" s="92" t="s">
        <v>129</v>
      </c>
      <c r="I41" s="219" t="s">
        <v>20</v>
      </c>
    </row>
    <row r="42" spans="2:9" ht="13.9" thickBot="1" x14ac:dyDescent="0.4">
      <c r="B42" s="208" t="s">
        <v>8</v>
      </c>
      <c r="C42" s="97"/>
      <c r="D42" s="91"/>
      <c r="E42" s="93">
        <f>+I37</f>
        <v>74208934</v>
      </c>
      <c r="F42" s="49">
        <f>ROUND(+E42*C63,0)</f>
        <v>2300477</v>
      </c>
      <c r="G42" s="21">
        <f>+E42+F42</f>
        <v>76509411</v>
      </c>
      <c r="H42" s="18"/>
      <c r="I42" s="62">
        <f>+G42</f>
        <v>76509411</v>
      </c>
    </row>
    <row r="43" spans="2:9" ht="13.9" thickBot="1" x14ac:dyDescent="0.4">
      <c r="B43" s="99" t="s">
        <v>9</v>
      </c>
      <c r="C43" s="100"/>
      <c r="D43" s="212"/>
      <c r="E43" s="101">
        <f>+I38</f>
        <v>-49472623</v>
      </c>
      <c r="F43" s="49">
        <f>ROUND(+E43*0.031,0)</f>
        <v>-1533651</v>
      </c>
      <c r="G43" s="215">
        <f>+E43+F43</f>
        <v>-51006274</v>
      </c>
      <c r="H43" s="18"/>
      <c r="I43" s="63">
        <f>+G43-H44</f>
        <v>-63757843</v>
      </c>
    </row>
    <row r="44" spans="2:9" ht="13.9" thickBot="1" x14ac:dyDescent="0.4">
      <c r="B44" s="208" t="s">
        <v>86</v>
      </c>
      <c r="C44" s="213"/>
      <c r="D44" s="214"/>
      <c r="E44" s="94">
        <f>+E42+E43</f>
        <v>24736311</v>
      </c>
      <c r="G44" s="93">
        <f>+G42+G43</f>
        <v>25503137</v>
      </c>
      <c r="H44" s="216">
        <f>ROUND(+G44/2,0)</f>
        <v>12751569</v>
      </c>
      <c r="I44" s="217">
        <f>SUM(I42:I43)</f>
        <v>12751568</v>
      </c>
    </row>
    <row r="45" spans="2:9" ht="13.9" thickBot="1" x14ac:dyDescent="0.4"/>
    <row r="46" spans="2:9" ht="13.9" thickBot="1" x14ac:dyDescent="0.4">
      <c r="B46" s="96" t="s">
        <v>133</v>
      </c>
      <c r="F46" s="25" t="s">
        <v>97</v>
      </c>
      <c r="G46" s="92" t="s">
        <v>98</v>
      </c>
      <c r="H46" s="92" t="s">
        <v>129</v>
      </c>
      <c r="I46" s="219" t="s">
        <v>20</v>
      </c>
    </row>
    <row r="47" spans="2:9" ht="13.9" thickBot="1" x14ac:dyDescent="0.4">
      <c r="B47" s="208" t="s">
        <v>8</v>
      </c>
      <c r="C47" s="97"/>
      <c r="D47" s="91"/>
      <c r="E47" s="93">
        <f>+I42</f>
        <v>76509411</v>
      </c>
      <c r="F47" s="49">
        <f>ROUND(+E47*C64,0)</f>
        <v>1606698</v>
      </c>
      <c r="G47" s="21">
        <f>+E47+F47</f>
        <v>78116109</v>
      </c>
      <c r="H47" s="18"/>
      <c r="I47" s="62">
        <f>+G47</f>
        <v>78116109</v>
      </c>
    </row>
    <row r="48" spans="2:9" ht="13.9" thickBot="1" x14ac:dyDescent="0.4">
      <c r="B48" s="99" t="s">
        <v>9</v>
      </c>
      <c r="C48" s="100"/>
      <c r="D48" s="212"/>
      <c r="E48" s="101">
        <f>+I43</f>
        <v>-63757843</v>
      </c>
      <c r="F48" s="49">
        <f>ROUND(+E48*0.021,0)</f>
        <v>-1338915</v>
      </c>
      <c r="G48" s="215">
        <f>+E48+F48</f>
        <v>-65096758</v>
      </c>
      <c r="H48" s="18"/>
      <c r="I48" s="63">
        <f>+G48-H49</f>
        <v>-78116109</v>
      </c>
    </row>
    <row r="49" spans="2:9" ht="13.9" thickBot="1" x14ac:dyDescent="0.4">
      <c r="B49" s="208" t="s">
        <v>86</v>
      </c>
      <c r="C49" s="213"/>
      <c r="D49" s="214"/>
      <c r="E49" s="94">
        <f>+E47+E48</f>
        <v>12751568</v>
      </c>
      <c r="G49" s="93">
        <f>+G47+G48</f>
        <v>13019351</v>
      </c>
      <c r="H49" s="216">
        <f>ROUND(+G49/1,0)</f>
        <v>13019351</v>
      </c>
      <c r="I49" s="217">
        <f>SUM(I47:I48)</f>
        <v>0</v>
      </c>
    </row>
    <row r="54" spans="2:9" ht="13.9" thickBot="1" x14ac:dyDescent="0.4"/>
    <row r="55" spans="2:9" ht="27.75" thickTop="1" thickBot="1" x14ac:dyDescent="0.4">
      <c r="B55" s="33" t="s">
        <v>55</v>
      </c>
      <c r="C55" s="69" t="s">
        <v>56</v>
      </c>
      <c r="D55" s="262" t="s">
        <v>57</v>
      </c>
      <c r="E55" s="262" t="s">
        <v>58</v>
      </c>
    </row>
    <row r="56" spans="2:9" ht="13.9" thickBot="1" x14ac:dyDescent="0.4">
      <c r="B56" s="70">
        <v>44805</v>
      </c>
      <c r="C56" s="71">
        <v>1.7000000000000001E-2</v>
      </c>
      <c r="D56" s="316"/>
      <c r="E56" s="263"/>
    </row>
    <row r="57" spans="2:9" ht="13.9" thickBot="1" x14ac:dyDescent="0.4">
      <c r="B57" s="34">
        <v>44835</v>
      </c>
      <c r="C57" s="35">
        <v>1.4999999999999999E-2</v>
      </c>
      <c r="D57" s="263"/>
      <c r="E57" s="263"/>
    </row>
    <row r="58" spans="2:9" ht="13.9" thickBot="1" x14ac:dyDescent="0.4">
      <c r="B58" s="34">
        <v>44866</v>
      </c>
      <c r="C58" s="35">
        <v>0.01</v>
      </c>
      <c r="D58" s="264"/>
      <c r="E58" s="264"/>
    </row>
    <row r="59" spans="2:9" ht="13.9" thickBot="1" x14ac:dyDescent="0.4">
      <c r="B59" s="34">
        <v>44896</v>
      </c>
      <c r="C59" s="35">
        <v>0</v>
      </c>
      <c r="D59" s="30">
        <v>2022</v>
      </c>
      <c r="E59" s="36">
        <v>0.27</v>
      </c>
    </row>
    <row r="60" spans="2:9" ht="13.9" thickBot="1" x14ac:dyDescent="0.4">
      <c r="B60" s="37">
        <v>2023</v>
      </c>
      <c r="C60" s="116">
        <v>0.06</v>
      </c>
      <c r="D60" s="30">
        <v>2023</v>
      </c>
      <c r="E60" s="36">
        <v>0.27</v>
      </c>
    </row>
    <row r="61" spans="2:9" ht="13.9" thickBot="1" x14ac:dyDescent="0.4">
      <c r="B61" s="37">
        <v>2024</v>
      </c>
      <c r="C61" s="35">
        <v>0.03</v>
      </c>
      <c r="D61" s="30">
        <v>2024</v>
      </c>
      <c r="E61" s="36">
        <v>0.27</v>
      </c>
    </row>
    <row r="62" spans="2:9" ht="13.9" thickBot="1" x14ac:dyDescent="0.4">
      <c r="B62" s="37">
        <v>2025</v>
      </c>
      <c r="C62" s="35">
        <v>2.3E-2</v>
      </c>
      <c r="D62" s="30">
        <v>2025</v>
      </c>
      <c r="E62" s="36">
        <v>0.27</v>
      </c>
    </row>
    <row r="63" spans="2:9" ht="13.9" thickBot="1" x14ac:dyDescent="0.4">
      <c r="B63" s="37">
        <v>2026</v>
      </c>
      <c r="C63" s="116">
        <v>3.1E-2</v>
      </c>
      <c r="D63" s="30">
        <v>2026</v>
      </c>
      <c r="E63" s="36">
        <v>0.27</v>
      </c>
    </row>
    <row r="64" spans="2:9" ht="13.9" thickBot="1" x14ac:dyDescent="0.4">
      <c r="B64" s="38">
        <v>2027</v>
      </c>
      <c r="C64" s="39">
        <v>2.1000000000000001E-2</v>
      </c>
      <c r="D64" s="40">
        <v>2027</v>
      </c>
      <c r="E64" s="41">
        <v>0.27</v>
      </c>
    </row>
    <row r="65" spans="2:7" ht="14.25" thickTop="1" thickBot="1" x14ac:dyDescent="0.4"/>
    <row r="66" spans="2:7" ht="13.9" thickBot="1" x14ac:dyDescent="0.4">
      <c r="B66" s="259" t="s">
        <v>70</v>
      </c>
      <c r="C66" s="260"/>
      <c r="D66" s="260"/>
      <c r="E66" s="260"/>
      <c r="F66" s="260"/>
      <c r="G66" s="261"/>
    </row>
    <row r="67" spans="2:7" ht="13.9" thickBot="1" x14ac:dyDescent="0.4"/>
    <row r="68" spans="2:7" ht="13.9" thickBot="1" x14ac:dyDescent="0.4">
      <c r="B68" s="43">
        <v>2022</v>
      </c>
    </row>
    <row r="69" spans="2:7" ht="13.9" thickBot="1" x14ac:dyDescent="0.4"/>
    <row r="70" spans="2:7" ht="13.9" thickBot="1" x14ac:dyDescent="0.4">
      <c r="F70" s="282">
        <v>0.27</v>
      </c>
      <c r="G70" s="283"/>
    </row>
    <row r="71" spans="2:7" ht="13.9" thickBot="1" x14ac:dyDescent="0.4">
      <c r="B71" s="43" t="s">
        <v>0</v>
      </c>
      <c r="C71" s="43" t="s">
        <v>1</v>
      </c>
      <c r="D71" s="43" t="s">
        <v>11</v>
      </c>
      <c r="E71" s="43" t="s">
        <v>12</v>
      </c>
      <c r="F71" s="43" t="s">
        <v>13</v>
      </c>
      <c r="G71" s="43" t="s">
        <v>6</v>
      </c>
    </row>
    <row r="72" spans="2:7" ht="4.8" customHeight="1" x14ac:dyDescent="0.35">
      <c r="B72" s="18"/>
      <c r="C72" s="18"/>
      <c r="D72" s="18"/>
      <c r="E72" s="20"/>
      <c r="F72" s="20"/>
      <c r="G72" s="20"/>
    </row>
    <row r="73" spans="2:7" x14ac:dyDescent="0.35">
      <c r="B73" s="18" t="str">
        <f>+B22</f>
        <v>Gastos de Organización y Puesta en Marcha</v>
      </c>
      <c r="C73" s="18">
        <v>0</v>
      </c>
      <c r="D73" s="21">
        <f>+E24</f>
        <v>55367667</v>
      </c>
      <c r="E73" s="20">
        <f>+D73</f>
        <v>55367667</v>
      </c>
      <c r="F73" s="20">
        <f>ROUND(+E73*F70,0)</f>
        <v>14949270</v>
      </c>
      <c r="G73" s="20"/>
    </row>
    <row r="74" spans="2:7" ht="7.25" customHeight="1" thickBot="1" x14ac:dyDescent="0.4">
      <c r="B74" s="18"/>
      <c r="C74" s="18"/>
      <c r="D74" s="18"/>
      <c r="E74" s="20"/>
      <c r="F74" s="20"/>
      <c r="G74" s="20"/>
    </row>
    <row r="75" spans="2:7" ht="15" customHeight="1" thickBot="1" x14ac:dyDescent="0.4">
      <c r="B75" s="265" t="s">
        <v>10</v>
      </c>
      <c r="C75" s="315"/>
      <c r="D75" s="315"/>
      <c r="E75" s="266"/>
      <c r="F75" s="19">
        <f>SUM(F73:F74)</f>
        <v>14949270</v>
      </c>
      <c r="G75" s="19"/>
    </row>
    <row r="76" spans="2:7" ht="13.9" thickBot="1" x14ac:dyDescent="0.4"/>
    <row r="77" spans="2:7" ht="13.9" thickBot="1" x14ac:dyDescent="0.4">
      <c r="B77" s="220" t="s">
        <v>3</v>
      </c>
      <c r="C77" s="312" t="s">
        <v>0</v>
      </c>
      <c r="D77" s="313"/>
      <c r="E77" s="314"/>
      <c r="F77" s="191" t="s">
        <v>4</v>
      </c>
      <c r="G77" s="191" t="s">
        <v>5</v>
      </c>
    </row>
    <row r="78" spans="2:7" x14ac:dyDescent="0.35">
      <c r="B78" s="107"/>
      <c r="C78" s="104" t="s">
        <v>2</v>
      </c>
      <c r="D78" s="104">
        <v>1</v>
      </c>
      <c r="E78" s="105" t="s">
        <v>2</v>
      </c>
      <c r="F78" s="106"/>
      <c r="G78" s="106"/>
    </row>
    <row r="79" spans="2:7" x14ac:dyDescent="0.35">
      <c r="B79" s="107" t="s">
        <v>13</v>
      </c>
      <c r="C79" s="273" t="s">
        <v>101</v>
      </c>
      <c r="D79" s="274"/>
      <c r="E79" s="275"/>
      <c r="F79" s="108">
        <f>+F75</f>
        <v>14949270</v>
      </c>
      <c r="G79" s="109"/>
    </row>
    <row r="80" spans="2:7" x14ac:dyDescent="0.35">
      <c r="B80" s="107" t="s">
        <v>100</v>
      </c>
      <c r="C80" s="284" t="s">
        <v>102</v>
      </c>
      <c r="D80" s="285"/>
      <c r="E80" s="286"/>
      <c r="F80" s="109"/>
      <c r="G80" s="108">
        <f>+F79</f>
        <v>14949270</v>
      </c>
    </row>
    <row r="81" spans="2:7" ht="13.9" thickBot="1" x14ac:dyDescent="0.4">
      <c r="B81" s="192"/>
      <c r="C81" s="193"/>
      <c r="D81" s="193"/>
      <c r="E81" s="194"/>
      <c r="F81" s="194"/>
      <c r="G81" s="194"/>
    </row>
    <row r="82" spans="2:7" ht="13.9" thickBot="1" x14ac:dyDescent="0.4"/>
    <row r="83" spans="2:7" ht="13.9" thickBot="1" x14ac:dyDescent="0.4">
      <c r="B83" s="43">
        <v>2023</v>
      </c>
    </row>
    <row r="84" spans="2:7" ht="13.9" thickBot="1" x14ac:dyDescent="0.4"/>
    <row r="85" spans="2:7" ht="13.9" thickBot="1" x14ac:dyDescent="0.4">
      <c r="F85" s="282">
        <v>0.27</v>
      </c>
      <c r="G85" s="283"/>
    </row>
    <row r="86" spans="2:7" ht="13.9" thickBot="1" x14ac:dyDescent="0.4">
      <c r="B86" s="43" t="s">
        <v>0</v>
      </c>
      <c r="C86" s="43" t="s">
        <v>1</v>
      </c>
      <c r="D86" s="43" t="s">
        <v>11</v>
      </c>
      <c r="E86" s="43" t="s">
        <v>12</v>
      </c>
      <c r="F86" s="43" t="s">
        <v>13</v>
      </c>
      <c r="G86" s="43" t="s">
        <v>6</v>
      </c>
    </row>
    <row r="87" spans="2:7" x14ac:dyDescent="0.35">
      <c r="B87" s="18"/>
      <c r="C87" s="18"/>
      <c r="D87" s="18"/>
      <c r="E87" s="20"/>
      <c r="F87" s="20"/>
      <c r="G87" s="20"/>
    </row>
    <row r="88" spans="2:7" x14ac:dyDescent="0.35">
      <c r="B88" s="18" t="str">
        <f>+B37</f>
        <v>Gastos de Organización y Puesta en Marcha</v>
      </c>
      <c r="C88" s="18">
        <v>0</v>
      </c>
      <c r="D88" s="21">
        <f>+I29</f>
        <v>46951782</v>
      </c>
      <c r="E88" s="20">
        <f>+D88</f>
        <v>46951782</v>
      </c>
      <c r="F88" s="20">
        <f>ROUND(+E88*F85,0)</f>
        <v>12676981</v>
      </c>
      <c r="G88" s="20"/>
    </row>
    <row r="89" spans="2:7" ht="13.9" thickBot="1" x14ac:dyDescent="0.4">
      <c r="B89" s="18"/>
      <c r="C89" s="18"/>
      <c r="D89" s="18"/>
      <c r="E89" s="20"/>
      <c r="F89" s="20"/>
      <c r="G89" s="20"/>
    </row>
    <row r="90" spans="2:7" ht="13.9" thickBot="1" x14ac:dyDescent="0.4">
      <c r="B90" s="265" t="s">
        <v>10</v>
      </c>
      <c r="C90" s="315"/>
      <c r="D90" s="315"/>
      <c r="E90" s="266"/>
      <c r="F90" s="19">
        <f>SUM(F88:F89)</f>
        <v>12676981</v>
      </c>
      <c r="G90" s="19"/>
    </row>
    <row r="92" spans="2:7" x14ac:dyDescent="0.35">
      <c r="E92" s="222" t="s">
        <v>134</v>
      </c>
      <c r="F92" s="223">
        <f>+F75</f>
        <v>14949270</v>
      </c>
    </row>
    <row r="93" spans="2:7" ht="6.6" customHeight="1" x14ac:dyDescent="0.35"/>
    <row r="94" spans="2:7" x14ac:dyDescent="0.35">
      <c r="E94" s="221" t="s">
        <v>12</v>
      </c>
      <c r="F94" s="139">
        <f>+F90-F92</f>
        <v>-2272289</v>
      </c>
    </row>
    <row r="95" spans="2:7" ht="13.9" thickBot="1" x14ac:dyDescent="0.4"/>
    <row r="96" spans="2:7" ht="13.9" thickBot="1" x14ac:dyDescent="0.4">
      <c r="B96" s="220" t="s">
        <v>3</v>
      </c>
      <c r="C96" s="312" t="s">
        <v>0</v>
      </c>
      <c r="D96" s="313"/>
      <c r="E96" s="314"/>
      <c r="F96" s="191" t="s">
        <v>4</v>
      </c>
      <c r="G96" s="191" t="s">
        <v>5</v>
      </c>
    </row>
    <row r="97" spans="2:7" x14ac:dyDescent="0.35">
      <c r="B97" s="107"/>
      <c r="C97" s="104" t="s">
        <v>2</v>
      </c>
      <c r="D97" s="104">
        <v>2</v>
      </c>
      <c r="E97" s="105" t="s">
        <v>2</v>
      </c>
      <c r="F97" s="106"/>
      <c r="G97" s="106"/>
    </row>
    <row r="98" spans="2:7" x14ac:dyDescent="0.35">
      <c r="B98" s="107" t="s">
        <v>100</v>
      </c>
      <c r="C98" s="273" t="s">
        <v>102</v>
      </c>
      <c r="D98" s="274"/>
      <c r="E98" s="275"/>
      <c r="F98" s="108">
        <f>-F94</f>
        <v>2272289</v>
      </c>
      <c r="G98" s="109"/>
    </row>
    <row r="99" spans="2:7" x14ac:dyDescent="0.35">
      <c r="B99" s="107" t="s">
        <v>13</v>
      </c>
      <c r="C99" s="284" t="s">
        <v>101</v>
      </c>
      <c r="D99" s="285"/>
      <c r="E99" s="286"/>
      <c r="F99" s="109"/>
      <c r="G99" s="108">
        <f>+F98</f>
        <v>2272289</v>
      </c>
    </row>
    <row r="100" spans="2:7" ht="13.9" thickBot="1" x14ac:dyDescent="0.4">
      <c r="B100" s="192"/>
      <c r="C100" s="193"/>
      <c r="D100" s="193"/>
      <c r="E100" s="194"/>
      <c r="F100" s="194"/>
      <c r="G100" s="194"/>
    </row>
    <row r="102" spans="2:7" ht="13.9" thickBot="1" x14ac:dyDescent="0.4"/>
    <row r="103" spans="2:7" ht="13.9" thickBot="1" x14ac:dyDescent="0.4">
      <c r="B103" s="43">
        <v>2024</v>
      </c>
    </row>
    <row r="104" spans="2:7" ht="13.9" thickBot="1" x14ac:dyDescent="0.4"/>
    <row r="105" spans="2:7" ht="13.9" thickBot="1" x14ac:dyDescent="0.4">
      <c r="F105" s="282">
        <v>0.27</v>
      </c>
      <c r="G105" s="283"/>
    </row>
    <row r="106" spans="2:7" ht="13.9" thickBot="1" x14ac:dyDescent="0.4">
      <c r="B106" s="43" t="s">
        <v>0</v>
      </c>
      <c r="C106" s="43" t="s">
        <v>1</v>
      </c>
      <c r="D106" s="43" t="s">
        <v>11</v>
      </c>
      <c r="E106" s="43" t="s">
        <v>12</v>
      </c>
      <c r="F106" s="43" t="s">
        <v>13</v>
      </c>
      <c r="G106" s="43" t="s">
        <v>6</v>
      </c>
    </row>
    <row r="107" spans="2:7" x14ac:dyDescent="0.35">
      <c r="B107" s="18"/>
      <c r="C107" s="18"/>
      <c r="D107" s="18"/>
      <c r="E107" s="20"/>
      <c r="F107" s="20"/>
      <c r="G107" s="20"/>
    </row>
    <row r="108" spans="2:7" x14ac:dyDescent="0.35">
      <c r="B108" s="18" t="str">
        <f>+B88</f>
        <v>Gastos de Organización y Puesta en Marcha</v>
      </c>
      <c r="C108" s="18">
        <v>0</v>
      </c>
      <c r="D108" s="21">
        <f>+I34</f>
        <v>36270251</v>
      </c>
      <c r="E108" s="20">
        <f>+D108</f>
        <v>36270251</v>
      </c>
      <c r="F108" s="20">
        <f>ROUND(+E108*F105,0)</f>
        <v>9792968</v>
      </c>
      <c r="G108" s="20"/>
    </row>
    <row r="109" spans="2:7" ht="13.9" thickBot="1" x14ac:dyDescent="0.4">
      <c r="B109" s="18"/>
      <c r="C109" s="18"/>
      <c r="D109" s="18"/>
      <c r="E109" s="20"/>
      <c r="F109" s="20"/>
      <c r="G109" s="20"/>
    </row>
    <row r="110" spans="2:7" ht="13.9" thickBot="1" x14ac:dyDescent="0.4">
      <c r="B110" s="265" t="s">
        <v>10</v>
      </c>
      <c r="C110" s="315"/>
      <c r="D110" s="315"/>
      <c r="E110" s="266"/>
      <c r="F110" s="19">
        <f>SUM(F108:F109)</f>
        <v>9792968</v>
      </c>
      <c r="G110" s="19"/>
    </row>
    <row r="112" spans="2:7" x14ac:dyDescent="0.35">
      <c r="E112" s="222" t="s">
        <v>135</v>
      </c>
      <c r="F112" s="223">
        <f>+F90</f>
        <v>12676981</v>
      </c>
    </row>
    <row r="113" spans="2:7" ht="6.6" customHeight="1" x14ac:dyDescent="0.35"/>
    <row r="114" spans="2:7" x14ac:dyDescent="0.35">
      <c r="E114" s="221" t="s">
        <v>12</v>
      </c>
      <c r="F114" s="139">
        <f>+F110-F112</f>
        <v>-2884013</v>
      </c>
    </row>
    <row r="115" spans="2:7" ht="13.9" thickBot="1" x14ac:dyDescent="0.4"/>
    <row r="116" spans="2:7" ht="13.9" thickBot="1" x14ac:dyDescent="0.4">
      <c r="B116" s="220" t="s">
        <v>3</v>
      </c>
      <c r="C116" s="312" t="s">
        <v>0</v>
      </c>
      <c r="D116" s="313"/>
      <c r="E116" s="314"/>
      <c r="F116" s="191" t="s">
        <v>4</v>
      </c>
      <c r="G116" s="191" t="s">
        <v>5</v>
      </c>
    </row>
    <row r="117" spans="2:7" x14ac:dyDescent="0.35">
      <c r="B117" s="107"/>
      <c r="C117" s="104" t="s">
        <v>2</v>
      </c>
      <c r="D117" s="104">
        <v>3</v>
      </c>
      <c r="E117" s="105" t="s">
        <v>2</v>
      </c>
      <c r="F117" s="106"/>
      <c r="G117" s="106"/>
    </row>
    <row r="118" spans="2:7" x14ac:dyDescent="0.35">
      <c r="B118" s="107" t="s">
        <v>100</v>
      </c>
      <c r="C118" s="273" t="s">
        <v>102</v>
      </c>
      <c r="D118" s="274"/>
      <c r="E118" s="275"/>
      <c r="F118" s="108">
        <f>-F114</f>
        <v>2884013</v>
      </c>
      <c r="G118" s="109"/>
    </row>
    <row r="119" spans="2:7" x14ac:dyDescent="0.35">
      <c r="B119" s="107" t="s">
        <v>13</v>
      </c>
      <c r="C119" s="284" t="s">
        <v>101</v>
      </c>
      <c r="D119" s="285"/>
      <c r="E119" s="286"/>
      <c r="F119" s="109"/>
      <c r="G119" s="108">
        <f>+F118</f>
        <v>2884013</v>
      </c>
    </row>
    <row r="120" spans="2:7" ht="13.9" thickBot="1" x14ac:dyDescent="0.4">
      <c r="B120" s="192"/>
      <c r="C120" s="193"/>
      <c r="D120" s="193"/>
      <c r="E120" s="194"/>
      <c r="F120" s="194"/>
      <c r="G120" s="194"/>
    </row>
    <row r="122" spans="2:7" ht="13.9" thickBot="1" x14ac:dyDescent="0.4"/>
    <row r="123" spans="2:7" ht="13.9" thickBot="1" x14ac:dyDescent="0.4">
      <c r="B123" s="43">
        <v>2025</v>
      </c>
    </row>
    <row r="124" spans="2:7" ht="13.9" thickBot="1" x14ac:dyDescent="0.4"/>
    <row r="125" spans="2:7" ht="13.9" thickBot="1" x14ac:dyDescent="0.4">
      <c r="F125" s="282">
        <v>0.27</v>
      </c>
      <c r="G125" s="283"/>
    </row>
    <row r="126" spans="2:7" ht="13.9" thickBot="1" x14ac:dyDescent="0.4">
      <c r="B126" s="43" t="s">
        <v>0</v>
      </c>
      <c r="C126" s="43" t="s">
        <v>1</v>
      </c>
      <c r="D126" s="43" t="s">
        <v>11</v>
      </c>
      <c r="E126" s="43" t="s">
        <v>12</v>
      </c>
      <c r="F126" s="43" t="s">
        <v>13</v>
      </c>
      <c r="G126" s="43" t="s">
        <v>6</v>
      </c>
    </row>
    <row r="127" spans="2:7" x14ac:dyDescent="0.35">
      <c r="B127" s="18"/>
      <c r="C127" s="18"/>
      <c r="D127" s="18"/>
      <c r="E127" s="20"/>
      <c r="F127" s="20"/>
      <c r="G127" s="20"/>
    </row>
    <row r="128" spans="2:7" x14ac:dyDescent="0.35">
      <c r="B128" s="18" t="str">
        <f>+B108</f>
        <v>Gastos de Organización y Puesta en Marcha</v>
      </c>
      <c r="C128" s="18">
        <v>0</v>
      </c>
      <c r="D128" s="21">
        <f>+I39</f>
        <v>24736311</v>
      </c>
      <c r="E128" s="20">
        <f>+D128</f>
        <v>24736311</v>
      </c>
      <c r="F128" s="20">
        <f>ROUND(+E128*F125,0)</f>
        <v>6678804</v>
      </c>
      <c r="G128" s="20"/>
    </row>
    <row r="129" spans="2:7" ht="13.9" thickBot="1" x14ac:dyDescent="0.4">
      <c r="B129" s="18"/>
      <c r="C129" s="18"/>
      <c r="D129" s="18"/>
      <c r="E129" s="20"/>
      <c r="F129" s="20"/>
      <c r="G129" s="20"/>
    </row>
    <row r="130" spans="2:7" ht="13.9" thickBot="1" x14ac:dyDescent="0.4">
      <c r="B130" s="265" t="s">
        <v>10</v>
      </c>
      <c r="C130" s="315"/>
      <c r="D130" s="315"/>
      <c r="E130" s="266"/>
      <c r="F130" s="19">
        <f>SUM(F128:F129)</f>
        <v>6678804</v>
      </c>
      <c r="G130" s="19"/>
    </row>
    <row r="132" spans="2:7" x14ac:dyDescent="0.35">
      <c r="E132" s="222" t="s">
        <v>136</v>
      </c>
      <c r="F132" s="223">
        <f>+F110</f>
        <v>9792968</v>
      </c>
    </row>
    <row r="133" spans="2:7" ht="6.6" customHeight="1" x14ac:dyDescent="0.35"/>
    <row r="134" spans="2:7" x14ac:dyDescent="0.35">
      <c r="E134" s="221" t="s">
        <v>12</v>
      </c>
      <c r="F134" s="139">
        <f>+F130-F132</f>
        <v>-3114164</v>
      </c>
    </row>
    <row r="135" spans="2:7" ht="13.9" thickBot="1" x14ac:dyDescent="0.4"/>
    <row r="136" spans="2:7" ht="13.9" thickBot="1" x14ac:dyDescent="0.4">
      <c r="B136" s="220" t="s">
        <v>3</v>
      </c>
      <c r="C136" s="312" t="s">
        <v>0</v>
      </c>
      <c r="D136" s="313"/>
      <c r="E136" s="314"/>
      <c r="F136" s="191" t="s">
        <v>4</v>
      </c>
      <c r="G136" s="191" t="s">
        <v>5</v>
      </c>
    </row>
    <row r="137" spans="2:7" x14ac:dyDescent="0.35">
      <c r="B137" s="107"/>
      <c r="C137" s="104" t="s">
        <v>2</v>
      </c>
      <c r="D137" s="104">
        <v>4</v>
      </c>
      <c r="E137" s="105" t="s">
        <v>2</v>
      </c>
      <c r="F137" s="106"/>
      <c r="G137" s="106"/>
    </row>
    <row r="138" spans="2:7" x14ac:dyDescent="0.35">
      <c r="B138" s="107" t="s">
        <v>100</v>
      </c>
      <c r="C138" s="273" t="s">
        <v>102</v>
      </c>
      <c r="D138" s="274"/>
      <c r="E138" s="275"/>
      <c r="F138" s="108">
        <f>-F134</f>
        <v>3114164</v>
      </c>
      <c r="G138" s="109"/>
    </row>
    <row r="139" spans="2:7" x14ac:dyDescent="0.35">
      <c r="B139" s="107" t="s">
        <v>13</v>
      </c>
      <c r="C139" s="284" t="s">
        <v>101</v>
      </c>
      <c r="D139" s="285"/>
      <c r="E139" s="286"/>
      <c r="F139" s="109"/>
      <c r="G139" s="108">
        <f>+F138</f>
        <v>3114164</v>
      </c>
    </row>
    <row r="140" spans="2:7" ht="13.9" thickBot="1" x14ac:dyDescent="0.4">
      <c r="B140" s="192"/>
      <c r="C140" s="193"/>
      <c r="D140" s="193"/>
      <c r="E140" s="194"/>
      <c r="F140" s="194"/>
      <c r="G140" s="194"/>
    </row>
    <row r="142" spans="2:7" ht="13.9" thickBot="1" x14ac:dyDescent="0.4"/>
    <row r="143" spans="2:7" ht="13.9" thickBot="1" x14ac:dyDescent="0.4">
      <c r="B143" s="43">
        <v>2026</v>
      </c>
    </row>
    <row r="144" spans="2:7" ht="13.9" thickBot="1" x14ac:dyDescent="0.4"/>
    <row r="145" spans="2:7" ht="13.9" thickBot="1" x14ac:dyDescent="0.4">
      <c r="F145" s="282">
        <v>0.27</v>
      </c>
      <c r="G145" s="283"/>
    </row>
    <row r="146" spans="2:7" ht="13.9" thickBot="1" x14ac:dyDescent="0.4">
      <c r="B146" s="43" t="s">
        <v>0</v>
      </c>
      <c r="C146" s="43" t="s">
        <v>1</v>
      </c>
      <c r="D146" s="43" t="s">
        <v>11</v>
      </c>
      <c r="E146" s="43" t="s">
        <v>12</v>
      </c>
      <c r="F146" s="43" t="s">
        <v>13</v>
      </c>
      <c r="G146" s="43" t="s">
        <v>6</v>
      </c>
    </row>
    <row r="147" spans="2:7" x14ac:dyDescent="0.35">
      <c r="B147" s="18"/>
      <c r="C147" s="18"/>
      <c r="D147" s="18"/>
      <c r="E147" s="20"/>
      <c r="F147" s="20"/>
      <c r="G147" s="20"/>
    </row>
    <row r="148" spans="2:7" x14ac:dyDescent="0.35">
      <c r="B148" s="18" t="str">
        <f>+B128</f>
        <v>Gastos de Organización y Puesta en Marcha</v>
      </c>
      <c r="C148" s="18">
        <v>0</v>
      </c>
      <c r="D148" s="21">
        <f>+I44</f>
        <v>12751568</v>
      </c>
      <c r="E148" s="20">
        <f>+D148</f>
        <v>12751568</v>
      </c>
      <c r="F148" s="20">
        <f>ROUND(+E148*F145,0)</f>
        <v>3442923</v>
      </c>
      <c r="G148" s="20"/>
    </row>
    <row r="149" spans="2:7" ht="13.9" thickBot="1" x14ac:dyDescent="0.4">
      <c r="B149" s="18"/>
      <c r="C149" s="18"/>
      <c r="D149" s="18"/>
      <c r="E149" s="20"/>
      <c r="F149" s="20"/>
      <c r="G149" s="20"/>
    </row>
    <row r="150" spans="2:7" ht="13.9" thickBot="1" x14ac:dyDescent="0.4">
      <c r="B150" s="265" t="s">
        <v>10</v>
      </c>
      <c r="C150" s="315"/>
      <c r="D150" s="315"/>
      <c r="E150" s="266"/>
      <c r="F150" s="19">
        <f>SUM(F148:F149)</f>
        <v>3442923</v>
      </c>
      <c r="G150" s="19"/>
    </row>
    <row r="152" spans="2:7" x14ac:dyDescent="0.35">
      <c r="E152" s="222" t="s">
        <v>137</v>
      </c>
      <c r="F152" s="223">
        <f>+F130</f>
        <v>6678804</v>
      </c>
    </row>
    <row r="153" spans="2:7" ht="6.6" customHeight="1" x14ac:dyDescent="0.35"/>
    <row r="154" spans="2:7" x14ac:dyDescent="0.35">
      <c r="E154" s="221" t="s">
        <v>12</v>
      </c>
      <c r="F154" s="139">
        <f>+F150-F152</f>
        <v>-3235881</v>
      </c>
    </row>
    <row r="155" spans="2:7" ht="13.9" thickBot="1" x14ac:dyDescent="0.4"/>
    <row r="156" spans="2:7" ht="13.9" thickBot="1" x14ac:dyDescent="0.4">
      <c r="B156" s="220" t="s">
        <v>3</v>
      </c>
      <c r="C156" s="312" t="s">
        <v>0</v>
      </c>
      <c r="D156" s="313"/>
      <c r="E156" s="314"/>
      <c r="F156" s="191" t="s">
        <v>4</v>
      </c>
      <c r="G156" s="191" t="s">
        <v>5</v>
      </c>
    </row>
    <row r="157" spans="2:7" x14ac:dyDescent="0.35">
      <c r="B157" s="107"/>
      <c r="C157" s="104" t="s">
        <v>2</v>
      </c>
      <c r="D157" s="104">
        <v>5</v>
      </c>
      <c r="E157" s="105" t="s">
        <v>2</v>
      </c>
      <c r="F157" s="106"/>
      <c r="G157" s="106"/>
    </row>
    <row r="158" spans="2:7" x14ac:dyDescent="0.35">
      <c r="B158" s="107" t="s">
        <v>100</v>
      </c>
      <c r="C158" s="273" t="s">
        <v>102</v>
      </c>
      <c r="D158" s="274"/>
      <c r="E158" s="275"/>
      <c r="F158" s="108">
        <f>-F154</f>
        <v>3235881</v>
      </c>
      <c r="G158" s="109"/>
    </row>
    <row r="159" spans="2:7" x14ac:dyDescent="0.35">
      <c r="B159" s="107" t="s">
        <v>13</v>
      </c>
      <c r="C159" s="284" t="s">
        <v>101</v>
      </c>
      <c r="D159" s="285"/>
      <c r="E159" s="286"/>
      <c r="F159" s="109"/>
      <c r="G159" s="108">
        <f>+F158</f>
        <v>3235881</v>
      </c>
    </row>
    <row r="160" spans="2:7" ht="13.9" thickBot="1" x14ac:dyDescent="0.4">
      <c r="B160" s="192"/>
      <c r="C160" s="193"/>
      <c r="D160" s="193"/>
      <c r="E160" s="194"/>
      <c r="F160" s="194"/>
      <c r="G160" s="194"/>
    </row>
    <row r="162" spans="2:7" ht="13.9" thickBot="1" x14ac:dyDescent="0.4"/>
    <row r="163" spans="2:7" ht="13.9" thickBot="1" x14ac:dyDescent="0.4">
      <c r="B163" s="43">
        <v>2027</v>
      </c>
    </row>
    <row r="164" spans="2:7" ht="13.9" thickBot="1" x14ac:dyDescent="0.4"/>
    <row r="165" spans="2:7" ht="13.9" thickBot="1" x14ac:dyDescent="0.4">
      <c r="F165" s="282">
        <v>0.27</v>
      </c>
      <c r="G165" s="283"/>
    </row>
    <row r="166" spans="2:7" ht="13.9" thickBot="1" x14ac:dyDescent="0.4">
      <c r="B166" s="43" t="s">
        <v>0</v>
      </c>
      <c r="C166" s="43" t="s">
        <v>1</v>
      </c>
      <c r="D166" s="43" t="s">
        <v>11</v>
      </c>
      <c r="E166" s="43" t="s">
        <v>12</v>
      </c>
      <c r="F166" s="43" t="s">
        <v>13</v>
      </c>
      <c r="G166" s="43" t="s">
        <v>6</v>
      </c>
    </row>
    <row r="167" spans="2:7" x14ac:dyDescent="0.35">
      <c r="B167" s="18"/>
      <c r="C167" s="18"/>
      <c r="D167" s="18"/>
      <c r="E167" s="20"/>
      <c r="F167" s="20"/>
      <c r="G167" s="20"/>
    </row>
    <row r="168" spans="2:7" x14ac:dyDescent="0.35">
      <c r="B168" s="18" t="str">
        <f>+B148</f>
        <v>Gastos de Organización y Puesta en Marcha</v>
      </c>
      <c r="C168" s="18">
        <v>0</v>
      </c>
      <c r="D168" s="21">
        <f>+I49</f>
        <v>0</v>
      </c>
      <c r="E168" s="20">
        <f>+D168</f>
        <v>0</v>
      </c>
      <c r="F168" s="20">
        <f>ROUND(+E168*F165,0)</f>
        <v>0</v>
      </c>
      <c r="G168" s="20"/>
    </row>
    <row r="169" spans="2:7" ht="13.9" thickBot="1" x14ac:dyDescent="0.4">
      <c r="B169" s="18"/>
      <c r="C169" s="18"/>
      <c r="D169" s="18"/>
      <c r="E169" s="20"/>
      <c r="F169" s="20"/>
      <c r="G169" s="20"/>
    </row>
    <row r="170" spans="2:7" ht="13.9" thickBot="1" x14ac:dyDescent="0.4">
      <c r="B170" s="265" t="s">
        <v>10</v>
      </c>
      <c r="C170" s="315"/>
      <c r="D170" s="315"/>
      <c r="E170" s="266"/>
      <c r="F170" s="19">
        <f>SUM(F168:F169)</f>
        <v>0</v>
      </c>
      <c r="G170" s="19"/>
    </row>
    <row r="172" spans="2:7" x14ac:dyDescent="0.35">
      <c r="E172" s="222" t="s">
        <v>138</v>
      </c>
      <c r="F172" s="223">
        <f>+F150</f>
        <v>3442923</v>
      </c>
    </row>
    <row r="173" spans="2:7" ht="6.6" customHeight="1" x14ac:dyDescent="0.35"/>
    <row r="174" spans="2:7" x14ac:dyDescent="0.35">
      <c r="E174" s="221" t="s">
        <v>12</v>
      </c>
      <c r="F174" s="139">
        <f>+F170-F172</f>
        <v>-3442923</v>
      </c>
    </row>
    <row r="175" spans="2:7" ht="13.9" thickBot="1" x14ac:dyDescent="0.4"/>
    <row r="176" spans="2:7" ht="13.9" thickBot="1" x14ac:dyDescent="0.4">
      <c r="B176" s="220" t="s">
        <v>3</v>
      </c>
      <c r="C176" s="312" t="s">
        <v>0</v>
      </c>
      <c r="D176" s="313"/>
      <c r="E176" s="314"/>
      <c r="F176" s="191" t="s">
        <v>4</v>
      </c>
      <c r="G176" s="191" t="s">
        <v>5</v>
      </c>
    </row>
    <row r="177" spans="2:7" x14ac:dyDescent="0.35">
      <c r="B177" s="107"/>
      <c r="C177" s="104" t="s">
        <v>2</v>
      </c>
      <c r="D177" s="104">
        <v>5</v>
      </c>
      <c r="E177" s="105" t="s">
        <v>2</v>
      </c>
      <c r="F177" s="106"/>
      <c r="G177" s="106"/>
    </row>
    <row r="178" spans="2:7" x14ac:dyDescent="0.35">
      <c r="B178" s="107" t="s">
        <v>100</v>
      </c>
      <c r="C178" s="273" t="s">
        <v>102</v>
      </c>
      <c r="D178" s="274"/>
      <c r="E178" s="275"/>
      <c r="F178" s="108">
        <f>-F174</f>
        <v>3442923</v>
      </c>
      <c r="G178" s="109"/>
    </row>
    <row r="179" spans="2:7" x14ac:dyDescent="0.35">
      <c r="B179" s="107" t="s">
        <v>13</v>
      </c>
      <c r="C179" s="284" t="s">
        <v>101</v>
      </c>
      <c r="D179" s="285"/>
      <c r="E179" s="286"/>
      <c r="F179" s="109"/>
      <c r="G179" s="108">
        <f>+F178</f>
        <v>3442923</v>
      </c>
    </row>
    <row r="180" spans="2:7" ht="13.9" thickBot="1" x14ac:dyDescent="0.4">
      <c r="B180" s="192"/>
      <c r="C180" s="193"/>
      <c r="D180" s="193"/>
      <c r="E180" s="194"/>
      <c r="F180" s="194"/>
      <c r="G180" s="194"/>
    </row>
  </sheetData>
  <mergeCells count="35">
    <mergeCell ref="F165:G165"/>
    <mergeCell ref="B170:E170"/>
    <mergeCell ref="C176:E176"/>
    <mergeCell ref="C178:E178"/>
    <mergeCell ref="C179:E179"/>
    <mergeCell ref="F145:G145"/>
    <mergeCell ref="B150:E150"/>
    <mergeCell ref="C156:E156"/>
    <mergeCell ref="C158:E158"/>
    <mergeCell ref="C159:E159"/>
    <mergeCell ref="F125:G125"/>
    <mergeCell ref="B130:E130"/>
    <mergeCell ref="C136:E136"/>
    <mergeCell ref="C138:E138"/>
    <mergeCell ref="C139:E139"/>
    <mergeCell ref="F105:G105"/>
    <mergeCell ref="B110:E110"/>
    <mergeCell ref="C116:E116"/>
    <mergeCell ref="C118:E118"/>
    <mergeCell ref="C119:E119"/>
    <mergeCell ref="F85:G85"/>
    <mergeCell ref="B90:E90"/>
    <mergeCell ref="C96:E96"/>
    <mergeCell ref="C98:E98"/>
    <mergeCell ref="C99:E99"/>
    <mergeCell ref="B2:G2"/>
    <mergeCell ref="B4:G4"/>
    <mergeCell ref="D55:D58"/>
    <mergeCell ref="E55:E58"/>
    <mergeCell ref="B66:G66"/>
    <mergeCell ref="F70:G70"/>
    <mergeCell ref="C77:E77"/>
    <mergeCell ref="C79:E79"/>
    <mergeCell ref="C80:E80"/>
    <mergeCell ref="B75:E7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577AE-593E-4581-A34A-A04DC1FA5777}">
  <dimension ref="B1:G38"/>
  <sheetViews>
    <sheetView showGridLines="0" topLeftCell="A23" zoomScale="140" zoomScaleNormal="140" workbookViewId="0">
      <selection activeCell="E23" sqref="E23"/>
    </sheetView>
  </sheetViews>
  <sheetFormatPr baseColWidth="10" defaultColWidth="11.53125" defaultRowHeight="13.5" x14ac:dyDescent="0.35"/>
  <cols>
    <col min="1" max="1" width="4.46484375" style="1" customWidth="1"/>
    <col min="2" max="2" width="43" style="1" customWidth="1"/>
    <col min="3" max="3" width="26.6640625" style="1" customWidth="1"/>
    <col min="4" max="7" width="19" style="1" customWidth="1"/>
    <col min="8" max="16384" width="11.53125" style="1"/>
  </cols>
  <sheetData>
    <row r="1" spans="2:3" x14ac:dyDescent="0.35">
      <c r="B1" s="2" t="s">
        <v>14</v>
      </c>
    </row>
    <row r="2" spans="2:3" x14ac:dyDescent="0.35">
      <c r="B2" s="9"/>
    </row>
    <row r="3" spans="2:3" x14ac:dyDescent="0.35">
      <c r="B3" s="16" t="s">
        <v>139</v>
      </c>
    </row>
    <row r="4" spans="2:3" x14ac:dyDescent="0.35">
      <c r="B4" s="8"/>
    </row>
    <row r="5" spans="2:3" x14ac:dyDescent="0.35">
      <c r="B5" s="8"/>
    </row>
    <row r="6" spans="2:3" x14ac:dyDescent="0.35">
      <c r="B6" s="8" t="s">
        <v>115</v>
      </c>
      <c r="C6" s="49">
        <v>105000000</v>
      </c>
    </row>
    <row r="7" spans="2:3" x14ac:dyDescent="0.35">
      <c r="B7" s="8" t="s">
        <v>97</v>
      </c>
      <c r="C7" s="49">
        <f>+C6*0.18</f>
        <v>18900000</v>
      </c>
    </row>
    <row r="8" spans="2:3" x14ac:dyDescent="0.35">
      <c r="B8" s="8" t="s">
        <v>98</v>
      </c>
      <c r="C8" s="49">
        <f>SUM(C6:C7)</f>
        <v>123900000</v>
      </c>
    </row>
    <row r="9" spans="2:3" ht="4.8" customHeight="1" x14ac:dyDescent="0.35">
      <c r="B9" s="8"/>
      <c r="C9" s="49"/>
    </row>
    <row r="10" spans="2:3" x14ac:dyDescent="0.35">
      <c r="B10" s="228" t="s">
        <v>140</v>
      </c>
      <c r="C10" s="229">
        <v>28700000</v>
      </c>
    </row>
    <row r="11" spans="2:3" ht="5.45" customHeight="1" thickBot="1" x14ac:dyDescent="0.4">
      <c r="B11" s="228"/>
      <c r="C11" s="229"/>
    </row>
    <row r="12" spans="2:3" ht="13.9" thickBot="1" x14ac:dyDescent="0.4">
      <c r="B12" s="230" t="s">
        <v>86</v>
      </c>
      <c r="C12" s="19">
        <f>+C8-C10</f>
        <v>95200000</v>
      </c>
    </row>
    <row r="13" spans="2:3" x14ac:dyDescent="0.35">
      <c r="B13" s="8"/>
    </row>
    <row r="14" spans="2:3" x14ac:dyDescent="0.35">
      <c r="B14" s="16" t="s">
        <v>92</v>
      </c>
    </row>
    <row r="15" spans="2:3" x14ac:dyDescent="0.35">
      <c r="B15" s="9"/>
    </row>
    <row r="16" spans="2:3" x14ac:dyDescent="0.35">
      <c r="B16" s="16" t="s">
        <v>68</v>
      </c>
    </row>
    <row r="17" spans="2:7" ht="13.9" thickBot="1" x14ac:dyDescent="0.4"/>
    <row r="18" spans="2:7" ht="13.9" thickBot="1" x14ac:dyDescent="0.4">
      <c r="B18" s="10" t="s">
        <v>0</v>
      </c>
      <c r="C18" s="11" t="s">
        <v>7</v>
      </c>
      <c r="D18" s="92" t="s">
        <v>97</v>
      </c>
      <c r="E18" s="92" t="s">
        <v>98</v>
      </c>
      <c r="F18" s="92" t="s">
        <v>129</v>
      </c>
      <c r="G18" s="236" t="s">
        <v>7</v>
      </c>
    </row>
    <row r="19" spans="2:7" ht="13.9" thickBot="1" x14ac:dyDescent="0.4">
      <c r="B19" s="12" t="s">
        <v>8</v>
      </c>
      <c r="C19" s="13">
        <v>210000000</v>
      </c>
      <c r="D19" s="19">
        <f>ROUND(+C19*0.18,0)</f>
        <v>37800000</v>
      </c>
      <c r="E19" s="117">
        <f>+C19+D19</f>
        <v>247800000</v>
      </c>
      <c r="F19" s="232"/>
      <c r="G19" s="21">
        <f>+E19</f>
        <v>247800000</v>
      </c>
    </row>
    <row r="20" spans="2:7" ht="13.9" thickBot="1" x14ac:dyDescent="0.4">
      <c r="B20" s="12" t="s">
        <v>9</v>
      </c>
      <c r="C20" s="13">
        <v>-35000000</v>
      </c>
      <c r="D20" s="63">
        <f>ROUND(+C20*0.18,0)</f>
        <v>-6300000</v>
      </c>
      <c r="E20" s="118">
        <f>+C20+D20</f>
        <v>-41300000</v>
      </c>
      <c r="F20" s="234">
        <f>ROUND(+E21/5,0)</f>
        <v>41300000</v>
      </c>
      <c r="G20" s="21">
        <f>+E20-F20</f>
        <v>-82600000</v>
      </c>
    </row>
    <row r="21" spans="2:7" ht="13.9" thickBot="1" x14ac:dyDescent="0.4">
      <c r="B21" s="14" t="s">
        <v>10</v>
      </c>
      <c r="C21" s="15">
        <f>SUM(C19:C20)</f>
        <v>175000000</v>
      </c>
      <c r="D21" s="27"/>
      <c r="E21" s="231">
        <f>+E19+E20</f>
        <v>206500000</v>
      </c>
      <c r="F21" s="233"/>
      <c r="G21" s="235">
        <f>SUM(G19:G20)</f>
        <v>165200000</v>
      </c>
    </row>
    <row r="22" spans="2:7" x14ac:dyDescent="0.35">
      <c r="D22" s="27"/>
      <c r="E22" s="28"/>
      <c r="F22" s="27"/>
      <c r="G22" s="27"/>
    </row>
    <row r="23" spans="2:7" x14ac:dyDescent="0.35">
      <c r="B23" s="2" t="s">
        <v>69</v>
      </c>
      <c r="D23" s="27"/>
      <c r="E23" s="28"/>
      <c r="F23" s="27"/>
      <c r="G23" s="27"/>
    </row>
    <row r="24" spans="2:7" ht="13.9" thickBot="1" x14ac:dyDescent="0.4"/>
    <row r="25" spans="2:7" ht="13.9" thickBot="1" x14ac:dyDescent="0.4">
      <c r="F25" s="282">
        <v>0.27</v>
      </c>
      <c r="G25" s="283"/>
    </row>
    <row r="26" spans="2:7" ht="13.9" thickBot="1" x14ac:dyDescent="0.4">
      <c r="B26" s="43" t="s">
        <v>0</v>
      </c>
      <c r="C26" s="43" t="s">
        <v>1</v>
      </c>
      <c r="D26" s="43" t="s">
        <v>11</v>
      </c>
      <c r="E26" s="43" t="s">
        <v>12</v>
      </c>
      <c r="F26" s="43" t="s">
        <v>13</v>
      </c>
      <c r="G26" s="43" t="s">
        <v>6</v>
      </c>
    </row>
    <row r="27" spans="2:7" x14ac:dyDescent="0.35">
      <c r="B27" s="18" t="s">
        <v>115</v>
      </c>
      <c r="C27" s="18"/>
      <c r="D27" s="18"/>
      <c r="E27" s="20">
        <f>+C12</f>
        <v>95200000</v>
      </c>
      <c r="F27" s="20">
        <f>ROUND(+E27*$F$25,0)</f>
        <v>25704000</v>
      </c>
      <c r="G27" s="20"/>
    </row>
    <row r="28" spans="2:7" x14ac:dyDescent="0.35">
      <c r="B28" s="18" t="s">
        <v>119</v>
      </c>
      <c r="C28" s="18"/>
      <c r="D28" s="18"/>
      <c r="E28" s="20">
        <v>10000000</v>
      </c>
      <c r="F28" s="20">
        <f>ROUND(+E28*$F$25,0)</f>
        <v>2700000</v>
      </c>
      <c r="G28" s="20"/>
    </row>
    <row r="29" spans="2:7" x14ac:dyDescent="0.35">
      <c r="B29" s="18" t="str">
        <f>+B19</f>
        <v>Gastos de Organización y Puesta en Marcha</v>
      </c>
      <c r="C29" s="18">
        <v>0</v>
      </c>
      <c r="D29" s="21">
        <f>+G21</f>
        <v>165200000</v>
      </c>
      <c r="E29" s="20">
        <f>+D29</f>
        <v>165200000</v>
      </c>
      <c r="F29" s="20">
        <f>ROUND(+E29*$F$25,0)</f>
        <v>44604000</v>
      </c>
      <c r="G29" s="20"/>
    </row>
    <row r="30" spans="2:7" ht="13.9" thickBot="1" x14ac:dyDescent="0.4">
      <c r="B30" s="18"/>
      <c r="C30" s="18"/>
      <c r="D30" s="18"/>
      <c r="E30" s="20"/>
      <c r="F30" s="20"/>
      <c r="G30" s="20"/>
    </row>
    <row r="31" spans="2:7" ht="13.9" thickBot="1" x14ac:dyDescent="0.4">
      <c r="B31" s="17"/>
      <c r="C31" s="17"/>
      <c r="D31" s="17"/>
      <c r="E31" s="19"/>
      <c r="F31" s="19">
        <f>SUM(F27:F30)</f>
        <v>73008000</v>
      </c>
      <c r="G31" s="19"/>
    </row>
    <row r="32" spans="2:7" ht="13.9" thickBot="1" x14ac:dyDescent="0.4"/>
    <row r="33" spans="2:7" ht="13.9" thickBot="1" x14ac:dyDescent="0.4">
      <c r="B33" s="190" t="s">
        <v>3</v>
      </c>
      <c r="C33" s="312" t="s">
        <v>0</v>
      </c>
      <c r="D33" s="313"/>
      <c r="E33" s="314"/>
      <c r="F33" s="191" t="s">
        <v>4</v>
      </c>
      <c r="G33" s="191" t="s">
        <v>5</v>
      </c>
    </row>
    <row r="34" spans="2:7" x14ac:dyDescent="0.35">
      <c r="B34" s="107" t="s">
        <v>26</v>
      </c>
      <c r="C34" s="104" t="s">
        <v>2</v>
      </c>
      <c r="D34" s="104">
        <v>1</v>
      </c>
      <c r="E34" s="105" t="s">
        <v>2</v>
      </c>
      <c r="F34" s="106"/>
      <c r="G34" s="106"/>
    </row>
    <row r="35" spans="2:7" x14ac:dyDescent="0.35">
      <c r="B35" s="107" t="s">
        <v>13</v>
      </c>
      <c r="C35" s="273" t="s">
        <v>101</v>
      </c>
      <c r="D35" s="274"/>
      <c r="E35" s="275"/>
      <c r="F35" s="108">
        <f>+F31</f>
        <v>73008000</v>
      </c>
      <c r="G35" s="109"/>
    </row>
    <row r="36" spans="2:7" x14ac:dyDescent="0.35">
      <c r="B36" s="107" t="s">
        <v>100</v>
      </c>
      <c r="C36" s="284" t="s">
        <v>102</v>
      </c>
      <c r="D36" s="285"/>
      <c r="E36" s="286"/>
      <c r="F36" s="109"/>
      <c r="G36" s="108">
        <f>+F35</f>
        <v>73008000</v>
      </c>
    </row>
    <row r="37" spans="2:7" x14ac:dyDescent="0.35">
      <c r="B37" s="107"/>
      <c r="C37" s="273"/>
      <c r="D37" s="274"/>
      <c r="E37" s="275"/>
      <c r="F37" s="106"/>
      <c r="G37" s="106"/>
    </row>
    <row r="38" spans="2:7" ht="13.9" thickBot="1" x14ac:dyDescent="0.4">
      <c r="B38" s="192"/>
      <c r="C38" s="193"/>
      <c r="D38" s="193"/>
      <c r="E38" s="194"/>
      <c r="F38" s="194"/>
      <c r="G38" s="194"/>
    </row>
  </sheetData>
  <mergeCells count="5">
    <mergeCell ref="F25:G25"/>
    <mergeCell ref="C33:E33"/>
    <mergeCell ref="C35:E35"/>
    <mergeCell ref="C36:E36"/>
    <mergeCell ref="C37:E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7C051-3218-4831-A627-183941923A8E}">
  <dimension ref="B1:J40"/>
  <sheetViews>
    <sheetView showGridLines="0" zoomScale="130" zoomScaleNormal="130" workbookViewId="0">
      <selection activeCell="G36" sqref="G36"/>
    </sheetView>
  </sheetViews>
  <sheetFormatPr baseColWidth="10" defaultColWidth="11.53125" defaultRowHeight="13.5" x14ac:dyDescent="0.35"/>
  <cols>
    <col min="1" max="1" width="3.53125" style="1" customWidth="1"/>
    <col min="2" max="2" width="22.33203125" style="48" customWidth="1"/>
    <col min="3" max="3" width="16.86328125" style="49" customWidth="1"/>
    <col min="4" max="4" width="15.46484375" style="49" customWidth="1"/>
    <col min="5" max="5" width="21" style="49" customWidth="1"/>
    <col min="6" max="6" width="16.86328125" style="49" customWidth="1"/>
    <col min="7" max="7" width="16.19921875" style="49" customWidth="1"/>
    <col min="8" max="8" width="19.19921875" style="49" customWidth="1"/>
    <col min="9" max="9" width="21.1328125" style="49" customWidth="1"/>
    <col min="10" max="10" width="15.46484375" style="1" bestFit="1" customWidth="1"/>
    <col min="11" max="16384" width="11.53125" style="1"/>
  </cols>
  <sheetData>
    <row r="1" spans="2:6" x14ac:dyDescent="0.35">
      <c r="B1" s="2" t="s">
        <v>89</v>
      </c>
    </row>
    <row r="2" spans="2:6" x14ac:dyDescent="0.35">
      <c r="B2" s="9"/>
    </row>
    <row r="3" spans="2:6" x14ac:dyDescent="0.35">
      <c r="B3" s="2" t="s">
        <v>90</v>
      </c>
    </row>
    <row r="4" spans="2:6" ht="7.25" customHeight="1" x14ac:dyDescent="0.35">
      <c r="B4" s="16"/>
    </row>
    <row r="5" spans="2:6" x14ac:dyDescent="0.35">
      <c r="B5" s="239" t="s">
        <v>93</v>
      </c>
      <c r="C5" s="240"/>
      <c r="D5" s="240"/>
      <c r="E5" s="240"/>
      <c r="F5" s="240">
        <v>500000000</v>
      </c>
    </row>
    <row r="6" spans="2:6" ht="7.8" customHeight="1" thickBot="1" x14ac:dyDescent="0.4">
      <c r="B6" s="16"/>
    </row>
    <row r="7" spans="2:6" ht="13.9" thickBot="1" x14ac:dyDescent="0.4">
      <c r="B7" s="308" t="s">
        <v>71</v>
      </c>
      <c r="C7" s="309"/>
      <c r="E7" s="310" t="s">
        <v>72</v>
      </c>
      <c r="F7" s="311"/>
    </row>
    <row r="8" spans="2:6" x14ac:dyDescent="0.35">
      <c r="B8" s="50" t="s">
        <v>73</v>
      </c>
      <c r="C8" s="20">
        <v>220000000</v>
      </c>
      <c r="E8" s="52" t="s">
        <v>73</v>
      </c>
      <c r="F8" s="20">
        <v>45000000</v>
      </c>
    </row>
    <row r="9" spans="2:6" ht="13.9" thickBot="1" x14ac:dyDescent="0.4">
      <c r="B9" s="51" t="s">
        <v>74</v>
      </c>
      <c r="C9" s="63">
        <v>-10000000</v>
      </c>
      <c r="E9" s="53" t="s">
        <v>74</v>
      </c>
      <c r="F9" s="63">
        <v>-15000000</v>
      </c>
    </row>
    <row r="10" spans="2:6" ht="13.9" thickBot="1" x14ac:dyDescent="0.4">
      <c r="B10" s="64" t="s">
        <v>86</v>
      </c>
      <c r="C10" s="19">
        <f>SUM(C8:C9)</f>
        <v>210000000</v>
      </c>
      <c r="E10" s="65" t="s">
        <v>86</v>
      </c>
      <c r="F10" s="19">
        <f>SUM(F8:F9)</f>
        <v>30000000</v>
      </c>
    </row>
    <row r="11" spans="2:6" ht="13.9" thickBot="1" x14ac:dyDescent="0.4">
      <c r="B11" s="16"/>
    </row>
    <row r="12" spans="2:6" ht="13.9" thickBot="1" x14ac:dyDescent="0.4">
      <c r="B12" s="308" t="s">
        <v>75</v>
      </c>
      <c r="C12" s="309"/>
      <c r="E12" s="310" t="s">
        <v>76</v>
      </c>
      <c r="F12" s="311"/>
    </row>
    <row r="13" spans="2:6" x14ac:dyDescent="0.35">
      <c r="B13" s="60" t="s">
        <v>77</v>
      </c>
      <c r="C13" s="62">
        <v>30000000</v>
      </c>
      <c r="E13" s="58" t="s">
        <v>84</v>
      </c>
      <c r="F13" s="62">
        <v>750000000</v>
      </c>
    </row>
    <row r="14" spans="2:6" x14ac:dyDescent="0.35">
      <c r="B14" s="57" t="s">
        <v>78</v>
      </c>
      <c r="C14" s="20">
        <v>40000000</v>
      </c>
      <c r="E14" s="56" t="s">
        <v>81</v>
      </c>
      <c r="F14" s="20">
        <v>-50000000</v>
      </c>
    </row>
    <row r="15" spans="2:6" ht="13.9" thickBot="1" x14ac:dyDescent="0.4">
      <c r="B15" s="57" t="s">
        <v>79</v>
      </c>
      <c r="C15" s="20">
        <v>150000000</v>
      </c>
      <c r="E15" s="59" t="s">
        <v>82</v>
      </c>
      <c r="F15" s="63">
        <v>-420000000</v>
      </c>
    </row>
    <row r="16" spans="2:6" ht="13.9" thickBot="1" x14ac:dyDescent="0.4">
      <c r="B16" s="61" t="s">
        <v>80</v>
      </c>
      <c r="C16" s="63">
        <v>30000000</v>
      </c>
      <c r="E16" s="59" t="s">
        <v>83</v>
      </c>
      <c r="F16" s="63">
        <f>SUM(F13:F15)</f>
        <v>280000000</v>
      </c>
    </row>
    <row r="17" spans="2:10" ht="13.9" thickBot="1" x14ac:dyDescent="0.4">
      <c r="B17" s="51" t="s">
        <v>85</v>
      </c>
      <c r="C17" s="237">
        <f>SUM(C13:C16)</f>
        <v>250000000</v>
      </c>
      <c r="E17" s="1"/>
      <c r="F17" s="1"/>
    </row>
    <row r="18" spans="2:10" ht="13.9" thickBot="1" x14ac:dyDescent="0.4">
      <c r="B18" s="16"/>
    </row>
    <row r="19" spans="2:10" ht="13.9" thickBot="1" x14ac:dyDescent="0.4">
      <c r="B19" s="310" t="s">
        <v>18</v>
      </c>
      <c r="C19" s="311"/>
      <c r="E19" s="317" t="s">
        <v>124</v>
      </c>
      <c r="F19" s="318"/>
      <c r="H19" s="49">
        <v>1</v>
      </c>
      <c r="I19" s="49">
        <f>+C20</f>
        <v>220000000</v>
      </c>
    </row>
    <row r="20" spans="2:10" ht="13.9" thickBot="1" x14ac:dyDescent="0.4">
      <c r="B20" s="72">
        <v>1</v>
      </c>
      <c r="C20" s="62">
        <v>220000000</v>
      </c>
      <c r="E20" s="198" t="s">
        <v>142</v>
      </c>
      <c r="F20" s="62">
        <f>+F5</f>
        <v>500000000</v>
      </c>
      <c r="H20" s="198">
        <v>2</v>
      </c>
      <c r="I20" s="73">
        <f>+C23</f>
        <v>290000000</v>
      </c>
      <c r="J20" s="96" t="s">
        <v>144</v>
      </c>
    </row>
    <row r="21" spans="2:10" ht="13.9" thickBot="1" x14ac:dyDescent="0.4">
      <c r="B21" s="50">
        <v>2</v>
      </c>
      <c r="C21" s="20">
        <v>350000000</v>
      </c>
      <c r="E21" s="200" t="s">
        <v>143</v>
      </c>
      <c r="F21" s="63">
        <f>-F16</f>
        <v>-280000000</v>
      </c>
      <c r="H21" s="199">
        <v>3</v>
      </c>
      <c r="I21" s="74">
        <f>+C24</f>
        <v>340000000</v>
      </c>
      <c r="J21" s="243">
        <f>ROUND((+I20+I21+I22)/3,0)</f>
        <v>326666667</v>
      </c>
    </row>
    <row r="22" spans="2:10" ht="13.9" thickBot="1" x14ac:dyDescent="0.4">
      <c r="B22" s="50">
        <v>3</v>
      </c>
      <c r="C22" s="20">
        <v>380000000</v>
      </c>
      <c r="E22" s="241" t="s">
        <v>86</v>
      </c>
      <c r="F22" s="241">
        <f>SUM(F20:F21)</f>
        <v>220000000</v>
      </c>
      <c r="H22" s="200">
        <v>4</v>
      </c>
      <c r="I22" s="75">
        <f>+C21</f>
        <v>350000000</v>
      </c>
    </row>
    <row r="23" spans="2:10" x14ac:dyDescent="0.35">
      <c r="B23" s="50">
        <v>4</v>
      </c>
      <c r="C23" s="20">
        <v>290000000</v>
      </c>
      <c r="H23" s="49">
        <v>5</v>
      </c>
      <c r="I23" s="49">
        <f>+C22</f>
        <v>380000000</v>
      </c>
    </row>
    <row r="24" spans="2:10" ht="13.9" thickBot="1" x14ac:dyDescent="0.4">
      <c r="B24" s="51">
        <v>5</v>
      </c>
      <c r="C24" s="63">
        <v>340000000</v>
      </c>
    </row>
    <row r="25" spans="2:10" x14ac:dyDescent="0.35">
      <c r="B25" s="16"/>
    </row>
    <row r="26" spans="2:10" x14ac:dyDescent="0.35">
      <c r="B26" s="16"/>
    </row>
    <row r="27" spans="2:10" x14ac:dyDescent="0.35">
      <c r="B27" s="2" t="s">
        <v>88</v>
      </c>
    </row>
    <row r="28" spans="2:10" ht="13.9" thickBot="1" x14ac:dyDescent="0.4"/>
    <row r="29" spans="2:10" ht="13.9" thickBot="1" x14ac:dyDescent="0.4">
      <c r="B29" s="47" t="s">
        <v>3</v>
      </c>
      <c r="C29" s="270" t="s">
        <v>0</v>
      </c>
      <c r="D29" s="271"/>
      <c r="E29" s="272"/>
      <c r="F29" s="45" t="s">
        <v>4</v>
      </c>
      <c r="G29" s="45" t="s">
        <v>5</v>
      </c>
    </row>
    <row r="30" spans="2:10" x14ac:dyDescent="0.35">
      <c r="B30" s="107" t="s">
        <v>26</v>
      </c>
      <c r="C30" s="104" t="s">
        <v>2</v>
      </c>
      <c r="D30" s="104">
        <v>1</v>
      </c>
      <c r="E30" s="105" t="s">
        <v>2</v>
      </c>
      <c r="F30" s="106"/>
      <c r="G30" s="106"/>
    </row>
    <row r="31" spans="2:10" x14ac:dyDescent="0.35">
      <c r="B31" s="107" t="s">
        <v>13</v>
      </c>
      <c r="C31" s="273" t="s">
        <v>141</v>
      </c>
      <c r="D31" s="274"/>
      <c r="E31" s="275"/>
      <c r="F31" s="121">
        <f>+C17</f>
        <v>250000000</v>
      </c>
      <c r="G31" s="109"/>
    </row>
    <row r="32" spans="2:10" x14ac:dyDescent="0.35">
      <c r="B32" s="107" t="s">
        <v>13</v>
      </c>
      <c r="C32" s="305" t="s">
        <v>123</v>
      </c>
      <c r="D32" s="306"/>
      <c r="E32" s="307"/>
      <c r="F32" s="108">
        <f>+G33-F31</f>
        <v>250000000</v>
      </c>
      <c r="G32" s="108"/>
    </row>
    <row r="33" spans="2:9" x14ac:dyDescent="0.35">
      <c r="B33" s="107" t="s">
        <v>6</v>
      </c>
      <c r="C33" s="284" t="s">
        <v>122</v>
      </c>
      <c r="D33" s="285"/>
      <c r="E33" s="286"/>
      <c r="F33" s="106"/>
      <c r="G33" s="238">
        <f>+F5</f>
        <v>500000000</v>
      </c>
    </row>
    <row r="34" spans="2:9" ht="13.9" thickBot="1" x14ac:dyDescent="0.4">
      <c r="B34" s="192"/>
      <c r="C34" s="193"/>
      <c r="D34" s="193"/>
      <c r="E34" s="194"/>
      <c r="F34" s="194"/>
      <c r="G34" s="194"/>
    </row>
    <row r="36" spans="2:9" ht="13.9" thickBot="1" x14ac:dyDescent="0.4"/>
    <row r="37" spans="2:9" ht="27.4" thickBot="1" x14ac:dyDescent="0.4">
      <c r="B37" s="67" t="s">
        <v>15</v>
      </c>
      <c r="C37" s="68" t="s">
        <v>16</v>
      </c>
      <c r="D37" s="68" t="s">
        <v>17</v>
      </c>
      <c r="E37" s="68" t="s">
        <v>18</v>
      </c>
      <c r="F37" s="68" t="s">
        <v>19</v>
      </c>
      <c r="G37" s="68" t="s">
        <v>20</v>
      </c>
      <c r="H37" s="68" t="s">
        <v>21</v>
      </c>
      <c r="I37" s="68" t="s">
        <v>22</v>
      </c>
    </row>
    <row r="38" spans="2:9" ht="18.600000000000001" customHeight="1" thickBot="1" x14ac:dyDescent="0.4">
      <c r="B38" s="22" t="s">
        <v>23</v>
      </c>
      <c r="C38" s="242" t="str">
        <f>+E8</f>
        <v>Edificio</v>
      </c>
      <c r="D38" s="55">
        <f>+F10</f>
        <v>30000000</v>
      </c>
      <c r="E38" s="55">
        <f>+J21</f>
        <v>326666667</v>
      </c>
      <c r="F38" s="55">
        <f>+F22</f>
        <v>220000000</v>
      </c>
      <c r="G38" s="55">
        <f>+D38+F38</f>
        <v>250000000</v>
      </c>
      <c r="H38" s="55"/>
      <c r="I38" s="55"/>
    </row>
    <row r="39" spans="2:9" ht="18.600000000000001" customHeight="1" thickBot="1" x14ac:dyDescent="0.4">
      <c r="B39" s="22" t="s">
        <v>24</v>
      </c>
      <c r="C39" s="242" t="str">
        <f t="shared" ref="C39:E40" si="0">+C38</f>
        <v>Edificio</v>
      </c>
      <c r="D39" s="55">
        <f t="shared" si="0"/>
        <v>30000000</v>
      </c>
      <c r="E39" s="55">
        <f t="shared" si="0"/>
        <v>326666667</v>
      </c>
      <c r="F39" s="55">
        <f>+F22</f>
        <v>220000000</v>
      </c>
      <c r="G39" s="55">
        <f>+D39+F39</f>
        <v>250000000</v>
      </c>
      <c r="H39" s="244"/>
      <c r="I39" s="244"/>
    </row>
    <row r="40" spans="2:9" ht="18.600000000000001" customHeight="1" thickBot="1" x14ac:dyDescent="0.4">
      <c r="B40" s="22" t="s">
        <v>25</v>
      </c>
      <c r="C40" s="242" t="str">
        <f t="shared" si="0"/>
        <v>Edificio</v>
      </c>
      <c r="D40" s="55">
        <f t="shared" si="0"/>
        <v>30000000</v>
      </c>
      <c r="E40" s="55">
        <f t="shared" si="0"/>
        <v>326666667</v>
      </c>
      <c r="F40" s="55">
        <f>+F39</f>
        <v>220000000</v>
      </c>
      <c r="G40" s="55">
        <f>+F40+D40</f>
        <v>250000000</v>
      </c>
      <c r="H40" s="244"/>
      <c r="I40" s="244"/>
    </row>
  </sheetData>
  <mergeCells count="10">
    <mergeCell ref="C32:E32"/>
    <mergeCell ref="C33:E33"/>
    <mergeCell ref="B7:C7"/>
    <mergeCell ref="E7:F7"/>
    <mergeCell ref="B12:C12"/>
    <mergeCell ref="E12:F12"/>
    <mergeCell ref="C29:E29"/>
    <mergeCell ref="C31:E31"/>
    <mergeCell ref="B19:C19"/>
    <mergeCell ref="E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 1</vt:lpstr>
      <vt:lpstr>Hoja1</vt:lpstr>
      <vt:lpstr>Ej 2</vt:lpstr>
      <vt:lpstr>Ej 3</vt:lpstr>
      <vt:lpstr>Tarea 1</vt:lpstr>
      <vt:lpstr>Tarea 2</vt:lpstr>
      <vt:lpstr>Tarea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Filgueira</dc:creator>
  <cp:lastModifiedBy>Carlos Andrés Filgueira</cp:lastModifiedBy>
  <cp:lastPrinted>2025-05-07T19:08:39Z</cp:lastPrinted>
  <dcterms:created xsi:type="dcterms:W3CDTF">2023-08-22T17:49:41Z</dcterms:created>
  <dcterms:modified xsi:type="dcterms:W3CDTF">2025-05-09T20:41:54Z</dcterms:modified>
</cp:coreProperties>
</file>