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52" documentId="8_{AF0932A7-1F56-40AA-B4EF-7BDA8DEF27A7}" xr6:coauthVersionLast="47" xr6:coauthVersionMax="47" xr10:uidLastSave="{1AB3AEB9-8A1D-4CF2-BB9A-C4488935231F}"/>
  <bookViews>
    <workbookView xWindow="-98" yWindow="-98" windowWidth="21795" windowHeight="12975" activeTab="2" xr2:uid="{00000000-000D-0000-FFFF-FFFF00000000}"/>
  </bookViews>
  <sheets>
    <sheet name="Diario" sheetId="1" r:id="rId1"/>
    <sheet name="PPE FINANCIERO" sheetId="2" r:id="rId2"/>
    <sheet name="PPE TRIBUTAR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H7" i="3"/>
  <c r="H5" i="3"/>
  <c r="F5" i="2"/>
  <c r="H5" i="2"/>
  <c r="G8" i="2"/>
  <c r="G7" i="2"/>
  <c r="G6" i="2"/>
  <c r="G5" i="2"/>
  <c r="B46" i="1"/>
  <c r="B36" i="1"/>
  <c r="B26" i="1"/>
  <c r="B16" i="1"/>
  <c r="B7" i="1"/>
  <c r="G44" i="1"/>
  <c r="G38" i="1"/>
  <c r="G39" i="1"/>
  <c r="F33" i="1"/>
  <c r="F32" i="1"/>
  <c r="G29" i="1"/>
  <c r="F17" i="1"/>
  <c r="G19" i="1"/>
  <c r="G18" i="1"/>
  <c r="F8" i="1"/>
  <c r="J6" i="3"/>
  <c r="J7" i="3"/>
  <c r="J8" i="3"/>
  <c r="J9" i="3"/>
  <c r="J5" i="3"/>
  <c r="E35" i="3"/>
  <c r="B35" i="3"/>
  <c r="B34" i="3"/>
  <c r="B19" i="3"/>
  <c r="H9" i="3"/>
  <c r="H8" i="3"/>
  <c r="H6" i="3"/>
  <c r="D5" i="3"/>
  <c r="F5" i="3" s="1"/>
  <c r="G5" i="3" s="1"/>
  <c r="I15" i="3" s="1"/>
  <c r="D9" i="3"/>
  <c r="F9" i="3" s="1"/>
  <c r="G9" i="3" s="1"/>
  <c r="I19" i="3" s="1"/>
  <c r="D10" i="3"/>
  <c r="F10" i="3" s="1"/>
  <c r="G10" i="3" s="1"/>
  <c r="D4" i="3"/>
  <c r="F4" i="3" s="1"/>
  <c r="G4" i="3" s="1"/>
  <c r="C9" i="3"/>
  <c r="C10" i="3"/>
  <c r="B5" i="3"/>
  <c r="D15" i="3" s="1"/>
  <c r="B6" i="3"/>
  <c r="D16" i="3" s="1"/>
  <c r="B7" i="3"/>
  <c r="D17" i="3" s="1"/>
  <c r="B8" i="3"/>
  <c r="D18" i="3" s="1"/>
  <c r="B9" i="3"/>
  <c r="D19" i="3" s="1"/>
  <c r="B10" i="3"/>
  <c r="B4" i="3"/>
  <c r="D14" i="3" s="1"/>
  <c r="B18" i="2"/>
  <c r="B17" i="2"/>
  <c r="B16" i="2"/>
  <c r="B15" i="2"/>
  <c r="G9" i="2"/>
  <c r="D9" i="2"/>
  <c r="C9" i="2"/>
  <c r="B9" i="2"/>
  <c r="D8" i="2"/>
  <c r="D8" i="3" s="1"/>
  <c r="F8" i="3" s="1"/>
  <c r="C8" i="2"/>
  <c r="C8" i="3" s="1"/>
  <c r="B8" i="2"/>
  <c r="F8" i="2"/>
  <c r="C7" i="2"/>
  <c r="C7" i="3" s="1"/>
  <c r="B7" i="2"/>
  <c r="D6" i="2"/>
  <c r="E6" i="2" s="1"/>
  <c r="C6" i="2"/>
  <c r="C6" i="3" s="1"/>
  <c r="B6" i="2"/>
  <c r="D5" i="2"/>
  <c r="C5" i="2"/>
  <c r="C5" i="3" s="1"/>
  <c r="B5" i="2"/>
  <c r="D4" i="2"/>
  <c r="F4" i="2" s="1"/>
  <c r="C4" i="2"/>
  <c r="C4" i="3" s="1"/>
  <c r="B4" i="2"/>
  <c r="F53" i="1"/>
  <c r="G54" i="1" s="1"/>
  <c r="G49" i="1"/>
  <c r="G48" i="1"/>
  <c r="F47" i="1" s="1"/>
  <c r="C47" i="1"/>
  <c r="F43" i="1"/>
  <c r="C37" i="1"/>
  <c r="C27" i="1"/>
  <c r="F23" i="1"/>
  <c r="G24" i="1" s="1"/>
  <c r="C17" i="1"/>
  <c r="F12" i="1"/>
  <c r="F13" i="1"/>
  <c r="C8" i="1"/>
  <c r="G5" i="1"/>
  <c r="E31" i="3"/>
  <c r="E33" i="3" s="1"/>
  <c r="I14" i="3" l="1"/>
  <c r="E9" i="2"/>
  <c r="F9" i="2" s="1"/>
  <c r="H9" i="2" s="1"/>
  <c r="J9" i="2" s="1"/>
  <c r="H18" i="2" s="1"/>
  <c r="D7" i="2"/>
  <c r="D6" i="3"/>
  <c r="F6" i="3" s="1"/>
  <c r="I6" i="3" s="1"/>
  <c r="K6" i="3" s="1"/>
  <c r="I28" i="3" s="1"/>
  <c r="G9" i="1"/>
  <c r="I8" i="3"/>
  <c r="K8" i="3" s="1"/>
  <c r="I32" i="3" s="1"/>
  <c r="G8" i="3"/>
  <c r="I18" i="3" s="1"/>
  <c r="H8" i="2"/>
  <c r="J8" i="2" s="1"/>
  <c r="H17" i="2" s="1"/>
  <c r="J5" i="2"/>
  <c r="H14" i="2" s="1"/>
  <c r="G28" i="1"/>
  <c r="F27" i="1" s="1"/>
  <c r="I5" i="3"/>
  <c r="K5" i="3" s="1"/>
  <c r="F7" i="2" l="1"/>
  <c r="H7" i="2" s="1"/>
  <c r="J7" i="2" s="1"/>
  <c r="H16" i="2" s="1"/>
  <c r="D7" i="3"/>
  <c r="F7" i="3" s="1"/>
  <c r="G6" i="3"/>
  <c r="I16" i="3" s="1"/>
  <c r="I26" i="3"/>
  <c r="J27" i="3" s="1"/>
  <c r="F37" i="1"/>
  <c r="F10" i="2"/>
  <c r="F6" i="2"/>
  <c r="H6" i="2" s="1"/>
  <c r="J6" i="2" s="1"/>
  <c r="H15" i="2" s="1"/>
  <c r="I19" i="2" s="1"/>
  <c r="I9" i="3"/>
  <c r="K9" i="3" s="1"/>
  <c r="G7" i="3" l="1"/>
  <c r="I17" i="3" s="1"/>
  <c r="I7" i="3"/>
  <c r="K7" i="3" s="1"/>
  <c r="I30" i="3" s="1"/>
  <c r="J31" i="3" s="1"/>
  <c r="J20" i="3"/>
  <c r="I34" i="3"/>
  <c r="J35" i="3" s="1"/>
  <c r="J29" i="3"/>
  <c r="J33" i="3"/>
</calcChain>
</file>

<file path=xl/sharedStrings.xml><?xml version="1.0" encoding="utf-8"?>
<sst xmlns="http://schemas.openxmlformats.org/spreadsheetml/2006/main" count="173" uniqueCount="83">
  <si>
    <t>Fecha</t>
  </si>
  <si>
    <t>Detalle</t>
  </si>
  <si>
    <t>Debe</t>
  </si>
  <si>
    <t>Haber</t>
  </si>
  <si>
    <t>.1.</t>
  </si>
  <si>
    <t>Activo</t>
  </si>
  <si>
    <t>Terrenos</t>
  </si>
  <si>
    <t>Banco Chile</t>
  </si>
  <si>
    <t>Glosa: compra de terreno al contado</t>
  </si>
  <si>
    <t>.2.</t>
  </si>
  <si>
    <t>IVA CF</t>
  </si>
  <si>
    <t>Pasivo</t>
  </si>
  <si>
    <t>Acreedores</t>
  </si>
  <si>
    <t>Glosa: compra edificio</t>
  </si>
  <si>
    <t>.3.</t>
  </si>
  <si>
    <t>.4.</t>
  </si>
  <si>
    <t>Cheque por Pagar</t>
  </si>
  <si>
    <t>.5.</t>
  </si>
  <si>
    <t>Banco Santander</t>
  </si>
  <si>
    <t>.6.</t>
  </si>
  <si>
    <t>Vehículos</t>
  </si>
  <si>
    <t>.7.</t>
  </si>
  <si>
    <t>Maquinarias</t>
  </si>
  <si>
    <t>.8.</t>
  </si>
  <si>
    <t>Caja</t>
  </si>
  <si>
    <t>Monto</t>
  </si>
  <si>
    <t xml:space="preserve">Valor </t>
  </si>
  <si>
    <t>Residual</t>
  </si>
  <si>
    <t>Valor</t>
  </si>
  <si>
    <t>Neto</t>
  </si>
  <si>
    <t xml:space="preserve">Vida </t>
  </si>
  <si>
    <t>Útil</t>
  </si>
  <si>
    <t>Depreciación</t>
  </si>
  <si>
    <t>1 mes</t>
  </si>
  <si>
    <t>Ocupados</t>
  </si>
  <si>
    <t>Total</t>
  </si>
  <si>
    <t>.9.</t>
  </si>
  <si>
    <t>31.12.2024</t>
  </si>
  <si>
    <t>Gasto</t>
  </si>
  <si>
    <t>Depreciación Edificio</t>
  </si>
  <si>
    <t>Depreciación Acumulada</t>
  </si>
  <si>
    <t>Depreciación Escritorios</t>
  </si>
  <si>
    <t>Depreciación Vehículos</t>
  </si>
  <si>
    <t>Depreciación Maquinarias</t>
  </si>
  <si>
    <t>Glosa: depreciación al 31 de diciembre</t>
  </si>
  <si>
    <t>Meses</t>
  </si>
  <si>
    <t>Corrección</t>
  </si>
  <si>
    <t>Monetaria</t>
  </si>
  <si>
    <t>Actualizado</t>
  </si>
  <si>
    <t>en valores</t>
  </si>
  <si>
    <t>.10.</t>
  </si>
  <si>
    <t>Ganancia</t>
  </si>
  <si>
    <t>Glosa: Corrección Monetaria Tributaria</t>
  </si>
  <si>
    <t>Corrección Monetaria</t>
  </si>
  <si>
    <t>.11.</t>
  </si>
  <si>
    <t>Depreciación Edificios</t>
  </si>
  <si>
    <t>Glosa: depreciación tributaria</t>
  </si>
  <si>
    <t>Edificios</t>
  </si>
  <si>
    <t xml:space="preserve">Glosa: compra de terreno </t>
  </si>
  <si>
    <t>Banco Estado</t>
  </si>
  <si>
    <t>Glosa: pago compra edificios</t>
  </si>
  <si>
    <t>Muebles y Útiles</t>
  </si>
  <si>
    <t>Glosa: compra muebles y útiles</t>
  </si>
  <si>
    <t>Glosa: pago de muebles</t>
  </si>
  <si>
    <t>Glosa: compra de vehículo</t>
  </si>
  <si>
    <t>Glosa: pago compra de vehículos</t>
  </si>
  <si>
    <t>Glosa: compra maquinarias</t>
  </si>
  <si>
    <t>Glosa: pago maquinarias</t>
  </si>
  <si>
    <t>10.12</t>
  </si>
  <si>
    <t>Herramientas</t>
  </si>
  <si>
    <t>.12.</t>
  </si>
  <si>
    <t>terrenos 2</t>
  </si>
  <si>
    <t>Depreciación Muebles y útiles</t>
  </si>
  <si>
    <t>Depreciación Herramientas</t>
  </si>
  <si>
    <t>Dep acum activos</t>
  </si>
  <si>
    <t>.13.</t>
  </si>
  <si>
    <t>.14.</t>
  </si>
  <si>
    <t>05.04</t>
  </si>
  <si>
    <t>10.05</t>
  </si>
  <si>
    <t>20.07</t>
  </si>
  <si>
    <t>17.10</t>
  </si>
  <si>
    <t>11.11</t>
  </si>
  <si>
    <t>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</si>
</sst>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00_ ;_ * \-#,##0.0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2"/>
      <color theme="1"/>
      <name val="Georgia"/>
      <family val="1"/>
    </font>
    <font>
      <sz val="12"/>
      <color rgb="FFFF0000"/>
      <name val="Georgia"/>
      <family val="1"/>
    </font>
    <font>
      <sz val="1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1" fontId="2" fillId="0" borderId="3" xfId="1" applyFont="1" applyBorder="1"/>
    <xf numFmtId="41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1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3" fillId="0" borderId="7" xfId="1" applyFont="1" applyBorder="1"/>
    <xf numFmtId="41" fontId="3" fillId="0" borderId="8" xfId="1" applyFont="1" applyBorder="1"/>
    <xf numFmtId="0" fontId="3" fillId="0" borderId="9" xfId="0" applyFont="1" applyBorder="1"/>
    <xf numFmtId="41" fontId="3" fillId="0" borderId="6" xfId="1" applyFont="1" applyBorder="1"/>
    <xf numFmtId="0" fontId="3" fillId="0" borderId="11" xfId="0" applyFont="1" applyBorder="1"/>
    <xf numFmtId="41" fontId="3" fillId="0" borderId="0" xfId="1" applyFont="1" applyBorder="1"/>
    <xf numFmtId="0" fontId="3" fillId="0" borderId="12" xfId="0" applyFont="1" applyBorder="1"/>
    <xf numFmtId="41" fontId="3" fillId="0" borderId="13" xfId="1" applyFont="1" applyBorder="1"/>
    <xf numFmtId="0" fontId="3" fillId="0" borderId="5" xfId="0" applyFont="1" applyBorder="1"/>
    <xf numFmtId="41" fontId="3" fillId="0" borderId="17" xfId="1" applyFont="1" applyBorder="1"/>
    <xf numFmtId="41" fontId="3" fillId="0" borderId="18" xfId="1" applyFont="1" applyBorder="1"/>
    <xf numFmtId="41" fontId="3" fillId="0" borderId="19" xfId="1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1" fontId="3" fillId="0" borderId="10" xfId="1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41" fontId="3" fillId="0" borderId="7" xfId="0" applyNumberFormat="1" applyFont="1" applyBorder="1" applyAlignment="1">
      <alignment horizontal="center"/>
    </xf>
    <xf numFmtId="41" fontId="3" fillId="0" borderId="7" xfId="0" applyNumberFormat="1" applyFont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41" fontId="3" fillId="0" borderId="6" xfId="0" applyNumberFormat="1" applyFont="1" applyBorder="1" applyAlignment="1">
      <alignment horizontal="center"/>
    </xf>
    <xf numFmtId="41" fontId="3" fillId="0" borderId="8" xfId="0" applyNumberFormat="1" applyFont="1" applyBorder="1" applyAlignment="1">
      <alignment horizontal="center"/>
    </xf>
    <xf numFmtId="41" fontId="3" fillId="3" borderId="5" xfId="1" applyFont="1" applyFill="1" applyBorder="1"/>
    <xf numFmtId="41" fontId="3" fillId="0" borderId="5" xfId="1" applyFont="1" applyBorder="1"/>
    <xf numFmtId="41" fontId="4" fillId="0" borderId="5" xfId="1" applyFont="1" applyBorder="1"/>
    <xf numFmtId="41" fontId="4" fillId="0" borderId="6" xfId="1" applyFont="1" applyBorder="1"/>
    <xf numFmtId="41" fontId="4" fillId="0" borderId="7" xfId="1" applyFont="1" applyBorder="1"/>
    <xf numFmtId="41" fontId="4" fillId="0" borderId="8" xfId="1" applyFont="1" applyBorder="1"/>
    <xf numFmtId="41" fontId="3" fillId="0" borderId="5" xfId="0" applyNumberFormat="1" applyFont="1" applyBorder="1"/>
    <xf numFmtId="41" fontId="3" fillId="0" borderId="6" xfId="0" applyNumberFormat="1" applyFont="1" applyBorder="1"/>
    <xf numFmtId="41" fontId="3" fillId="0" borderId="8" xfId="0" applyNumberFormat="1" applyFont="1" applyBorder="1"/>
    <xf numFmtId="41" fontId="4" fillId="3" borderId="6" xfId="1" applyFont="1" applyFill="1" applyBorder="1" applyAlignment="1">
      <alignment horizontal="center"/>
    </xf>
    <xf numFmtId="41" fontId="3" fillId="3" borderId="6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1" fontId="4" fillId="3" borderId="8" xfId="1" applyFont="1" applyFill="1" applyBorder="1" applyAlignment="1">
      <alignment horizontal="center"/>
    </xf>
    <xf numFmtId="41" fontId="3" fillId="3" borderId="8" xfId="1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6" xfId="0" applyFont="1" applyFill="1" applyBorder="1"/>
    <xf numFmtId="41" fontId="5" fillId="3" borderId="6" xfId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1" fontId="3" fillId="0" borderId="0" xfId="1" applyFont="1" applyBorder="1" applyAlignment="1">
      <alignment horizontal="center"/>
    </xf>
    <xf numFmtId="41" fontId="5" fillId="3" borderId="7" xfId="1" applyFont="1" applyFill="1" applyBorder="1" applyAlignment="1">
      <alignment horizontal="center"/>
    </xf>
    <xf numFmtId="41" fontId="3" fillId="3" borderId="7" xfId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1" xfId="0" applyFont="1" applyBorder="1"/>
    <xf numFmtId="41" fontId="3" fillId="0" borderId="1" xfId="0" applyNumberFormat="1" applyFont="1" applyBorder="1"/>
    <xf numFmtId="164" fontId="5" fillId="0" borderId="1" xfId="1" applyNumberFormat="1" applyFont="1" applyBorder="1"/>
    <xf numFmtId="41" fontId="3" fillId="0" borderId="1" xfId="1" applyFont="1" applyBorder="1"/>
    <xf numFmtId="41" fontId="3" fillId="3" borderId="1" xfId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1" fontId="3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topLeftCell="A40" zoomScale="120" zoomScaleNormal="120" workbookViewId="0">
      <selection activeCell="F40" sqref="F40"/>
    </sheetView>
  </sheetViews>
  <sheetFormatPr baseColWidth="10" defaultColWidth="11.3984375" defaultRowHeight="17.25" x14ac:dyDescent="0.45"/>
  <cols>
    <col min="1" max="1" width="2" style="1" customWidth="1"/>
    <col min="2" max="2" width="12" style="1" customWidth="1"/>
    <col min="3" max="3" width="22.86328125" style="1" customWidth="1"/>
    <col min="4" max="4" width="11.3984375" style="1"/>
    <col min="5" max="5" width="19.86328125" style="1" customWidth="1"/>
    <col min="6" max="6" width="21.86328125" style="1" customWidth="1"/>
    <col min="7" max="7" width="22.73046875" style="1" customWidth="1"/>
    <col min="8" max="16384" width="11.3984375" style="1"/>
  </cols>
  <sheetData>
    <row r="2" spans="2:7" x14ac:dyDescent="0.45">
      <c r="B2" s="8" t="s">
        <v>0</v>
      </c>
      <c r="C2" s="75" t="s">
        <v>1</v>
      </c>
      <c r="D2" s="76"/>
      <c r="E2" s="77"/>
      <c r="F2" s="6" t="s">
        <v>2</v>
      </c>
      <c r="G2" s="7" t="s">
        <v>3</v>
      </c>
    </row>
    <row r="3" spans="2:7" x14ac:dyDescent="0.45">
      <c r="B3" s="2" t="s">
        <v>77</v>
      </c>
      <c r="C3" s="2"/>
      <c r="D3" s="3" t="s">
        <v>4</v>
      </c>
      <c r="E3" s="5"/>
      <c r="F3" s="9"/>
      <c r="G3" s="10"/>
    </row>
    <row r="4" spans="2:7" x14ac:dyDescent="0.45">
      <c r="B4" s="2" t="s">
        <v>5</v>
      </c>
      <c r="C4" s="2" t="s">
        <v>6</v>
      </c>
      <c r="D4" s="3"/>
      <c r="E4" s="5"/>
      <c r="F4" s="9">
        <v>350000000</v>
      </c>
      <c r="G4" s="10"/>
    </row>
    <row r="5" spans="2:7" x14ac:dyDescent="0.45">
      <c r="B5" s="2" t="s">
        <v>11</v>
      </c>
      <c r="C5" s="2"/>
      <c r="D5" s="4" t="s">
        <v>12</v>
      </c>
      <c r="E5" s="5"/>
      <c r="F5" s="9"/>
      <c r="G5" s="10">
        <f>+F4</f>
        <v>350000000</v>
      </c>
    </row>
    <row r="6" spans="2:7" x14ac:dyDescent="0.45">
      <c r="B6" s="2"/>
      <c r="C6" s="2" t="s">
        <v>58</v>
      </c>
      <c r="D6" s="4"/>
      <c r="E6" s="5"/>
      <c r="F6" s="9"/>
      <c r="G6" s="10"/>
    </row>
    <row r="7" spans="2:7" x14ac:dyDescent="0.45">
      <c r="B7" s="2" t="str">
        <f>+B3</f>
        <v>05.04</v>
      </c>
      <c r="C7" s="2"/>
      <c r="D7" s="3" t="s">
        <v>9</v>
      </c>
      <c r="E7" s="5"/>
      <c r="F7" s="9"/>
      <c r="G7" s="10"/>
    </row>
    <row r="8" spans="2:7" x14ac:dyDescent="0.45">
      <c r="B8" s="2" t="s">
        <v>11</v>
      </c>
      <c r="C8" s="2" t="str">
        <f>+D5</f>
        <v>Acreedores</v>
      </c>
      <c r="D8" s="3"/>
      <c r="E8" s="5"/>
      <c r="F8" s="9">
        <f>+G5*0.7</f>
        <v>244999999.99999997</v>
      </c>
      <c r="G8" s="10"/>
    </row>
    <row r="9" spans="2:7" x14ac:dyDescent="0.45">
      <c r="B9" s="2" t="s">
        <v>5</v>
      </c>
      <c r="C9" s="2"/>
      <c r="D9" s="4" t="s">
        <v>7</v>
      </c>
      <c r="E9" s="5"/>
      <c r="F9" s="9"/>
      <c r="G9" s="10">
        <f>+F8</f>
        <v>244999999.99999997</v>
      </c>
    </row>
    <row r="10" spans="2:7" x14ac:dyDescent="0.45">
      <c r="B10" s="2"/>
      <c r="C10" s="2" t="s">
        <v>8</v>
      </c>
      <c r="D10" s="4"/>
      <c r="E10" s="5"/>
      <c r="F10" s="9"/>
      <c r="G10" s="10"/>
    </row>
    <row r="11" spans="2:7" x14ac:dyDescent="0.45">
      <c r="B11" s="2" t="s">
        <v>78</v>
      </c>
      <c r="C11" s="2"/>
      <c r="D11" s="3" t="s">
        <v>14</v>
      </c>
      <c r="E11" s="5"/>
      <c r="F11" s="9"/>
      <c r="G11" s="10"/>
    </row>
    <row r="12" spans="2:7" x14ac:dyDescent="0.45">
      <c r="B12" s="2" t="s">
        <v>5</v>
      </c>
      <c r="C12" s="2" t="s">
        <v>57</v>
      </c>
      <c r="D12" s="3"/>
      <c r="E12" s="5"/>
      <c r="F12" s="9">
        <f>ROUND(+G14/1.19,0)</f>
        <v>378151261</v>
      </c>
      <c r="G12" s="10"/>
    </row>
    <row r="13" spans="2:7" x14ac:dyDescent="0.45">
      <c r="B13" s="2" t="s">
        <v>5</v>
      </c>
      <c r="C13" s="2" t="s">
        <v>10</v>
      </c>
      <c r="D13" s="4"/>
      <c r="E13" s="5"/>
      <c r="F13" s="9">
        <f>+G14-F12</f>
        <v>71848739</v>
      </c>
      <c r="G13" s="10"/>
    </row>
    <row r="14" spans="2:7" x14ac:dyDescent="0.45">
      <c r="B14" s="2" t="s">
        <v>11</v>
      </c>
      <c r="C14" s="2"/>
      <c r="D14" s="4" t="s">
        <v>12</v>
      </c>
      <c r="E14" s="5"/>
      <c r="F14" s="9"/>
      <c r="G14" s="10">
        <v>450000000</v>
      </c>
    </row>
    <row r="15" spans="2:7" x14ac:dyDescent="0.45">
      <c r="B15" s="2"/>
      <c r="C15" s="2" t="s">
        <v>13</v>
      </c>
      <c r="D15" s="4"/>
      <c r="E15" s="5"/>
      <c r="F15" s="9"/>
      <c r="G15" s="10"/>
    </row>
    <row r="16" spans="2:7" x14ac:dyDescent="0.45">
      <c r="B16" s="2" t="str">
        <f>+B11</f>
        <v>10.05</v>
      </c>
      <c r="C16" s="2"/>
      <c r="D16" s="3" t="s">
        <v>15</v>
      </c>
      <c r="E16" s="5"/>
      <c r="F16" s="9"/>
      <c r="G16" s="10"/>
    </row>
    <row r="17" spans="2:7" x14ac:dyDescent="0.45">
      <c r="B17" s="2" t="s">
        <v>11</v>
      </c>
      <c r="C17" s="2" t="str">
        <f>+D14</f>
        <v>Acreedores</v>
      </c>
      <c r="D17" s="3"/>
      <c r="E17" s="5"/>
      <c r="F17" s="9">
        <f>+G18+G19</f>
        <v>292500000</v>
      </c>
      <c r="G17" s="10"/>
    </row>
    <row r="18" spans="2:7" x14ac:dyDescent="0.45">
      <c r="B18" s="2" t="s">
        <v>5</v>
      </c>
      <c r="C18" s="2"/>
      <c r="D18" s="4" t="s">
        <v>16</v>
      </c>
      <c r="E18" s="5"/>
      <c r="F18" s="9"/>
      <c r="G18" s="10">
        <f>+G14*0.3</f>
        <v>135000000</v>
      </c>
    </row>
    <row r="19" spans="2:7" x14ac:dyDescent="0.45">
      <c r="B19" s="2" t="s">
        <v>5</v>
      </c>
      <c r="C19" s="2"/>
      <c r="D19" s="4" t="s">
        <v>59</v>
      </c>
      <c r="E19" s="5"/>
      <c r="F19" s="9"/>
      <c r="G19" s="10">
        <f>+G14*0.35</f>
        <v>157500000</v>
      </c>
    </row>
    <row r="20" spans="2:7" x14ac:dyDescent="0.45">
      <c r="B20" s="2"/>
      <c r="C20" s="2" t="s">
        <v>60</v>
      </c>
      <c r="D20" s="4"/>
      <c r="E20" s="5"/>
      <c r="F20" s="9"/>
      <c r="G20" s="10"/>
    </row>
    <row r="21" spans="2:7" x14ac:dyDescent="0.45">
      <c r="B21" s="2" t="s">
        <v>79</v>
      </c>
      <c r="C21" s="2"/>
      <c r="D21" s="3" t="s">
        <v>17</v>
      </c>
      <c r="E21" s="5"/>
      <c r="F21" s="9"/>
      <c r="G21" s="10"/>
    </row>
    <row r="22" spans="2:7" x14ac:dyDescent="0.45">
      <c r="B22" s="2" t="s">
        <v>5</v>
      </c>
      <c r="C22" s="2" t="s">
        <v>61</v>
      </c>
      <c r="D22" s="3"/>
      <c r="E22" s="5"/>
      <c r="F22" s="9">
        <v>35000000</v>
      </c>
      <c r="G22" s="10"/>
    </row>
    <row r="23" spans="2:7" x14ac:dyDescent="0.45">
      <c r="B23" s="2" t="s">
        <v>5</v>
      </c>
      <c r="C23" s="2" t="s">
        <v>10</v>
      </c>
      <c r="D23" s="4"/>
      <c r="E23" s="5"/>
      <c r="F23" s="9">
        <f>+F22*0.19</f>
        <v>6650000</v>
      </c>
      <c r="G23" s="10"/>
    </row>
    <row r="24" spans="2:7" x14ac:dyDescent="0.45">
      <c r="B24" s="2" t="s">
        <v>11</v>
      </c>
      <c r="C24" s="2"/>
      <c r="D24" s="4" t="s">
        <v>12</v>
      </c>
      <c r="E24" s="5"/>
      <c r="F24" s="9"/>
      <c r="G24" s="10">
        <f>+F22+F23</f>
        <v>41650000</v>
      </c>
    </row>
    <row r="25" spans="2:7" x14ac:dyDescent="0.45">
      <c r="B25" s="2"/>
      <c r="C25" s="2" t="s">
        <v>62</v>
      </c>
      <c r="D25" s="4"/>
      <c r="E25" s="5"/>
      <c r="F25" s="9"/>
      <c r="G25" s="10"/>
    </row>
    <row r="26" spans="2:7" x14ac:dyDescent="0.45">
      <c r="B26" s="2" t="str">
        <f>+B21</f>
        <v>20.07</v>
      </c>
      <c r="C26" s="2"/>
      <c r="D26" s="3" t="s">
        <v>19</v>
      </c>
      <c r="E26" s="5"/>
      <c r="F26" s="9"/>
      <c r="G26" s="10"/>
    </row>
    <row r="27" spans="2:7" x14ac:dyDescent="0.45">
      <c r="B27" s="2" t="s">
        <v>11</v>
      </c>
      <c r="C27" s="2" t="str">
        <f>+D24</f>
        <v>Acreedores</v>
      </c>
      <c r="D27" s="3"/>
      <c r="E27" s="5"/>
      <c r="F27" s="9">
        <f>+G28+G29</f>
        <v>24990000</v>
      </c>
      <c r="G27" s="10"/>
    </row>
    <row r="28" spans="2:7" x14ac:dyDescent="0.45">
      <c r="B28" s="2" t="s">
        <v>5</v>
      </c>
      <c r="C28" s="2"/>
      <c r="D28" s="4" t="s">
        <v>16</v>
      </c>
      <c r="E28" s="5"/>
      <c r="F28" s="9"/>
      <c r="G28" s="10">
        <f>+G24*0.2</f>
        <v>8330000</v>
      </c>
    </row>
    <row r="29" spans="2:7" x14ac:dyDescent="0.45">
      <c r="B29" s="2" t="s">
        <v>5</v>
      </c>
      <c r="C29" s="2"/>
      <c r="D29" s="4" t="s">
        <v>18</v>
      </c>
      <c r="E29" s="5"/>
      <c r="F29" s="9"/>
      <c r="G29" s="10">
        <f>+G24*0.4</f>
        <v>16660000</v>
      </c>
    </row>
    <row r="30" spans="2:7" x14ac:dyDescent="0.45">
      <c r="B30" s="2"/>
      <c r="C30" s="2" t="s">
        <v>63</v>
      </c>
      <c r="D30" s="4"/>
      <c r="E30" s="5"/>
      <c r="F30" s="9"/>
      <c r="G30" s="10"/>
    </row>
    <row r="31" spans="2:7" x14ac:dyDescent="0.45">
      <c r="B31" s="2" t="s">
        <v>80</v>
      </c>
      <c r="C31" s="2"/>
      <c r="D31" s="3" t="s">
        <v>21</v>
      </c>
      <c r="E31" s="5"/>
      <c r="F31" s="9"/>
      <c r="G31" s="10"/>
    </row>
    <row r="32" spans="2:7" x14ac:dyDescent="0.45">
      <c r="B32" s="2" t="s">
        <v>5</v>
      </c>
      <c r="C32" s="2" t="s">
        <v>20</v>
      </c>
      <c r="D32" s="3"/>
      <c r="E32" s="5"/>
      <c r="F32" s="9">
        <f>ROUND(+G34/1.19,0)</f>
        <v>92436975</v>
      </c>
      <c r="G32" s="10"/>
    </row>
    <row r="33" spans="2:7" x14ac:dyDescent="0.45">
      <c r="B33" s="2" t="s">
        <v>5</v>
      </c>
      <c r="C33" s="2" t="s">
        <v>10</v>
      </c>
      <c r="D33" s="4"/>
      <c r="E33" s="5"/>
      <c r="F33" s="9">
        <f>ROUND(+F32*0.19,0)</f>
        <v>17563025</v>
      </c>
      <c r="G33" s="10"/>
    </row>
    <row r="34" spans="2:7" x14ac:dyDescent="0.45">
      <c r="B34" s="2" t="s">
        <v>11</v>
      </c>
      <c r="C34" s="2"/>
      <c r="D34" s="4" t="s">
        <v>12</v>
      </c>
      <c r="E34" s="5"/>
      <c r="F34" s="9"/>
      <c r="G34" s="10">
        <v>110000000</v>
      </c>
    </row>
    <row r="35" spans="2:7" x14ac:dyDescent="0.45">
      <c r="B35" s="2"/>
      <c r="C35" s="2" t="s">
        <v>64</v>
      </c>
      <c r="D35" s="4"/>
      <c r="E35" s="5"/>
      <c r="F35" s="9"/>
      <c r="G35" s="10"/>
    </row>
    <row r="36" spans="2:7" x14ac:dyDescent="0.45">
      <c r="B36" s="2" t="str">
        <f>+B31</f>
        <v>17.10</v>
      </c>
      <c r="C36" s="2"/>
      <c r="D36" s="3" t="s">
        <v>23</v>
      </c>
      <c r="E36" s="5"/>
      <c r="F36" s="9"/>
      <c r="G36" s="10"/>
    </row>
    <row r="37" spans="2:7" x14ac:dyDescent="0.45">
      <c r="B37" s="2" t="s">
        <v>11</v>
      </c>
      <c r="C37" s="2" t="str">
        <f>+D34</f>
        <v>Acreedores</v>
      </c>
      <c r="D37" s="3"/>
      <c r="E37" s="5"/>
      <c r="F37" s="9">
        <f>+G38+G39</f>
        <v>110000000</v>
      </c>
      <c r="G37" s="10"/>
    </row>
    <row r="38" spans="2:7" x14ac:dyDescent="0.45">
      <c r="B38" s="2" t="s">
        <v>5</v>
      </c>
      <c r="C38" s="2"/>
      <c r="D38" s="4" t="s">
        <v>16</v>
      </c>
      <c r="E38" s="5"/>
      <c r="F38" s="9"/>
      <c r="G38" s="10">
        <f>+G34*0.75</f>
        <v>82500000</v>
      </c>
    </row>
    <row r="39" spans="2:7" x14ac:dyDescent="0.45">
      <c r="B39" s="2" t="s">
        <v>5</v>
      </c>
      <c r="C39" s="2"/>
      <c r="D39" s="4" t="s">
        <v>18</v>
      </c>
      <c r="E39" s="5"/>
      <c r="F39" s="9"/>
      <c r="G39" s="10">
        <f>+G34*0.25</f>
        <v>27500000</v>
      </c>
    </row>
    <row r="40" spans="2:7" x14ac:dyDescent="0.45">
      <c r="B40" s="2"/>
      <c r="C40" s="2" t="s">
        <v>65</v>
      </c>
      <c r="D40" s="4"/>
      <c r="E40" s="5"/>
      <c r="F40" s="9"/>
      <c r="G40" s="10"/>
    </row>
    <row r="41" spans="2:7" x14ac:dyDescent="0.45">
      <c r="B41" s="2" t="s">
        <v>81</v>
      </c>
      <c r="C41" s="2"/>
      <c r="D41" s="3" t="s">
        <v>36</v>
      </c>
      <c r="E41" s="5"/>
      <c r="F41" s="9"/>
      <c r="G41" s="10"/>
    </row>
    <row r="42" spans="2:7" x14ac:dyDescent="0.45">
      <c r="B42" s="2" t="s">
        <v>5</v>
      </c>
      <c r="C42" s="2" t="s">
        <v>22</v>
      </c>
      <c r="D42" s="3"/>
      <c r="E42" s="5"/>
      <c r="F42" s="9">
        <v>28520000</v>
      </c>
      <c r="G42" s="10"/>
    </row>
    <row r="43" spans="2:7" x14ac:dyDescent="0.45">
      <c r="B43" s="2" t="s">
        <v>5</v>
      </c>
      <c r="C43" s="2" t="s">
        <v>10</v>
      </c>
      <c r="D43" s="4"/>
      <c r="E43" s="5"/>
      <c r="F43" s="9">
        <f>ROUND(+F42*0.19,0)</f>
        <v>5418800</v>
      </c>
      <c r="G43" s="10"/>
    </row>
    <row r="44" spans="2:7" x14ac:dyDescent="0.45">
      <c r="B44" s="2" t="s">
        <v>11</v>
      </c>
      <c r="C44" s="2"/>
      <c r="D44" s="4" t="s">
        <v>12</v>
      </c>
      <c r="E44" s="5"/>
      <c r="F44" s="9"/>
      <c r="G44" s="10">
        <f>+F42+F43</f>
        <v>33938800</v>
      </c>
    </row>
    <row r="45" spans="2:7" x14ac:dyDescent="0.45">
      <c r="B45" s="2"/>
      <c r="C45" s="2" t="s">
        <v>66</v>
      </c>
      <c r="D45" s="4"/>
      <c r="E45" s="5"/>
      <c r="F45" s="9"/>
      <c r="G45" s="10"/>
    </row>
    <row r="46" spans="2:7" x14ac:dyDescent="0.45">
      <c r="B46" s="2" t="str">
        <f>+B41</f>
        <v>11.11</v>
      </c>
      <c r="C46" s="2"/>
      <c r="D46" s="3" t="s">
        <v>50</v>
      </c>
      <c r="E46" s="5"/>
      <c r="F46" s="9"/>
      <c r="G46" s="10"/>
    </row>
    <row r="47" spans="2:7" x14ac:dyDescent="0.45">
      <c r="B47" s="2" t="s">
        <v>11</v>
      </c>
      <c r="C47" s="2" t="str">
        <f>+D44</f>
        <v>Acreedores</v>
      </c>
      <c r="D47" s="4"/>
      <c r="E47" s="5"/>
      <c r="F47" s="9">
        <f>+G48+G49</f>
        <v>30544920</v>
      </c>
      <c r="G47" s="10"/>
    </row>
    <row r="48" spans="2:7" x14ac:dyDescent="0.45">
      <c r="B48" s="2" t="s">
        <v>5</v>
      </c>
      <c r="C48" s="2"/>
      <c r="D48" s="4" t="s">
        <v>16</v>
      </c>
      <c r="E48" s="5"/>
      <c r="F48" s="9"/>
      <c r="G48" s="10">
        <f>+G44*0.4</f>
        <v>13575520</v>
      </c>
    </row>
    <row r="49" spans="2:7" x14ac:dyDescent="0.45">
      <c r="B49" s="2" t="s">
        <v>5</v>
      </c>
      <c r="C49" s="2"/>
      <c r="D49" s="4" t="s">
        <v>24</v>
      </c>
      <c r="E49" s="5"/>
      <c r="F49" s="9"/>
      <c r="G49" s="10">
        <f>+G44*0.5</f>
        <v>16969400</v>
      </c>
    </row>
    <row r="50" spans="2:7" x14ac:dyDescent="0.45">
      <c r="B50" s="2"/>
      <c r="C50" s="2" t="s">
        <v>67</v>
      </c>
      <c r="D50" s="3"/>
      <c r="E50" s="5"/>
      <c r="F50" s="9"/>
      <c r="G50" s="10"/>
    </row>
    <row r="51" spans="2:7" x14ac:dyDescent="0.45">
      <c r="B51" s="2" t="s">
        <v>68</v>
      </c>
      <c r="C51" s="2"/>
      <c r="D51" s="3" t="s">
        <v>54</v>
      </c>
      <c r="E51" s="5"/>
      <c r="F51" s="9"/>
      <c r="G51" s="10"/>
    </row>
    <row r="52" spans="2:7" x14ac:dyDescent="0.45">
      <c r="B52" s="2" t="s">
        <v>5</v>
      </c>
      <c r="C52" s="2" t="s">
        <v>69</v>
      </c>
      <c r="D52" s="4"/>
      <c r="E52" s="5"/>
      <c r="F52" s="9">
        <v>13500000</v>
      </c>
      <c r="G52" s="10"/>
    </row>
    <row r="53" spans="2:7" x14ac:dyDescent="0.45">
      <c r="B53" s="2" t="s">
        <v>5</v>
      </c>
      <c r="C53" s="2" t="s">
        <v>10</v>
      </c>
      <c r="D53" s="4"/>
      <c r="E53" s="5"/>
      <c r="F53" s="9">
        <f>+F52*0.19</f>
        <v>2565000</v>
      </c>
      <c r="G53" s="10"/>
    </row>
    <row r="54" spans="2:7" x14ac:dyDescent="0.45">
      <c r="B54" s="2" t="s">
        <v>11</v>
      </c>
      <c r="C54" s="2"/>
      <c r="D54" s="3" t="s">
        <v>12</v>
      </c>
      <c r="E54" s="5"/>
      <c r="F54" s="9"/>
      <c r="G54" s="10">
        <f>+F52+F53</f>
        <v>16065000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2"/>
  <sheetViews>
    <sheetView topLeftCell="A2" zoomScale="110" zoomScaleNormal="110" workbookViewId="0">
      <selection activeCell="E25" sqref="E24:E25"/>
    </sheetView>
  </sheetViews>
  <sheetFormatPr baseColWidth="10" defaultColWidth="11.3984375" defaultRowHeight="15" x14ac:dyDescent="0.4"/>
  <cols>
    <col min="1" max="1" width="3" style="11" customWidth="1"/>
    <col min="2" max="2" width="13.86328125" style="11" bestFit="1" customWidth="1"/>
    <col min="3" max="3" width="7.265625" style="11" bestFit="1" customWidth="1"/>
    <col min="4" max="4" width="16.3984375" style="11" bestFit="1" customWidth="1"/>
    <col min="5" max="5" width="14.86328125" style="13" bestFit="1" customWidth="1"/>
    <col min="6" max="6" width="16.1328125" style="13" bestFit="1" customWidth="1"/>
    <col min="7" max="7" width="7.59765625" style="13" bestFit="1" customWidth="1"/>
    <col min="8" max="8" width="14.265625" style="12" bestFit="1" customWidth="1"/>
    <col min="9" max="9" width="15" style="11" customWidth="1"/>
    <col min="10" max="10" width="14.73046875" style="11" bestFit="1" customWidth="1"/>
    <col min="11" max="16384" width="11.3984375" style="11"/>
  </cols>
  <sheetData>
    <row r="1" spans="2:10" ht="15.4" thickBot="1" x14ac:dyDescent="0.45"/>
    <row r="2" spans="2:10" ht="15.75" customHeight="1" x14ac:dyDescent="0.4">
      <c r="B2" s="81" t="s">
        <v>1</v>
      </c>
      <c r="C2" s="81" t="s">
        <v>0</v>
      </c>
      <c r="D2" s="81" t="s">
        <v>25</v>
      </c>
      <c r="E2" s="51" t="s">
        <v>26</v>
      </c>
      <c r="F2" s="52" t="s">
        <v>28</v>
      </c>
      <c r="G2" s="52" t="s">
        <v>30</v>
      </c>
      <c r="H2" s="53" t="s">
        <v>32</v>
      </c>
      <c r="I2" s="53" t="s">
        <v>45</v>
      </c>
      <c r="J2" s="53" t="s">
        <v>32</v>
      </c>
    </row>
    <row r="3" spans="2:10" ht="15.4" thickBot="1" x14ac:dyDescent="0.45">
      <c r="B3" s="82"/>
      <c r="C3" s="82"/>
      <c r="D3" s="82"/>
      <c r="E3" s="55" t="s">
        <v>27</v>
      </c>
      <c r="F3" s="56" t="s">
        <v>29</v>
      </c>
      <c r="G3" s="56" t="s">
        <v>31</v>
      </c>
      <c r="H3" s="54" t="s">
        <v>33</v>
      </c>
      <c r="I3" s="54" t="s">
        <v>34</v>
      </c>
      <c r="J3" s="54" t="s">
        <v>35</v>
      </c>
    </row>
    <row r="4" spans="2:10" ht="15.4" thickBot="1" x14ac:dyDescent="0.45">
      <c r="B4" s="24" t="str">
        <f>+Diario!C4</f>
        <v>Terrenos</v>
      </c>
      <c r="C4" s="24" t="str">
        <f>+Diario!B3</f>
        <v>05.04</v>
      </c>
      <c r="D4" s="48">
        <f>+Diario!F4</f>
        <v>350000000</v>
      </c>
      <c r="E4" s="44">
        <v>0</v>
      </c>
      <c r="F4" s="43">
        <f>+D4-E4</f>
        <v>350000000</v>
      </c>
      <c r="G4" s="42">
        <v>0</v>
      </c>
      <c r="H4" s="39"/>
      <c r="I4" s="38"/>
      <c r="J4" s="38"/>
    </row>
    <row r="5" spans="2:10" x14ac:dyDescent="0.4">
      <c r="B5" s="29" t="str">
        <f>+Diario!C12</f>
        <v>Edificios</v>
      </c>
      <c r="C5" s="29" t="str">
        <f>+Diario!B11</f>
        <v>10.05</v>
      </c>
      <c r="D5" s="49">
        <f>+Diario!F12</f>
        <v>378151261</v>
      </c>
      <c r="E5" s="45">
        <v>220000000</v>
      </c>
      <c r="F5" s="19">
        <f>+D5-E5</f>
        <v>158151261</v>
      </c>
      <c r="G5" s="19">
        <f>50*12</f>
        <v>600</v>
      </c>
      <c r="H5" s="40">
        <f>ROUND(+F5/G5,0)</f>
        <v>263585</v>
      </c>
      <c r="I5" s="14">
        <v>8</v>
      </c>
      <c r="J5" s="19">
        <f>+H5*I5</f>
        <v>2108680</v>
      </c>
    </row>
    <row r="6" spans="2:10" x14ac:dyDescent="0.4">
      <c r="B6" s="30" t="str">
        <f>+Diario!C22</f>
        <v>Muebles y Útiles</v>
      </c>
      <c r="C6" s="30" t="str">
        <f>+Diario!B21</f>
        <v>20.07</v>
      </c>
      <c r="D6" s="37">
        <f>+Diario!F22</f>
        <v>35000000</v>
      </c>
      <c r="E6" s="46">
        <f>+D6*0.2</f>
        <v>7000000</v>
      </c>
      <c r="F6" s="16">
        <f t="shared" ref="F6:F10" si="0">+D6-E6</f>
        <v>28000000</v>
      </c>
      <c r="G6" s="16">
        <f>8*12</f>
        <v>96</v>
      </c>
      <c r="H6" s="36">
        <f>ROUND(+F6/G6,0)</f>
        <v>291667</v>
      </c>
      <c r="I6" s="15">
        <v>6</v>
      </c>
      <c r="J6" s="16">
        <f>+H6*I6</f>
        <v>1750002</v>
      </c>
    </row>
    <row r="7" spans="2:10" x14ac:dyDescent="0.4">
      <c r="B7" s="30" t="str">
        <f>+Diario!C32</f>
        <v>Vehículos</v>
      </c>
      <c r="C7" s="30" t="str">
        <f>+Diario!B31</f>
        <v>17.10</v>
      </c>
      <c r="D7" s="37">
        <f>+Diario!F32</f>
        <v>92436975</v>
      </c>
      <c r="E7" s="46">
        <f>+D7*0.2</f>
        <v>18487395</v>
      </c>
      <c r="F7" s="16">
        <f t="shared" si="0"/>
        <v>73949580</v>
      </c>
      <c r="G7" s="16">
        <f>6*12</f>
        <v>72</v>
      </c>
      <c r="H7" s="36">
        <f>ROUND(+F7/G7,0)</f>
        <v>1027078</v>
      </c>
      <c r="I7" s="15">
        <v>3</v>
      </c>
      <c r="J7" s="16">
        <f>+H7*I7</f>
        <v>3081234</v>
      </c>
    </row>
    <row r="8" spans="2:10" x14ac:dyDescent="0.4">
      <c r="B8" s="30" t="str">
        <f>+Diario!C42</f>
        <v>Maquinarias</v>
      </c>
      <c r="C8" s="30" t="str">
        <f>+Diario!B41</f>
        <v>11.11</v>
      </c>
      <c r="D8" s="37">
        <f>+Diario!F42</f>
        <v>28520000</v>
      </c>
      <c r="E8" s="46">
        <v>12000000</v>
      </c>
      <c r="F8" s="16">
        <f t="shared" ref="F8" si="1">+D8-E8</f>
        <v>16520000</v>
      </c>
      <c r="G8" s="16">
        <f>8*12</f>
        <v>96</v>
      </c>
      <c r="H8" s="36">
        <f>ROUND(+F8/G8,0)</f>
        <v>172083</v>
      </c>
      <c r="I8" s="15">
        <v>2</v>
      </c>
      <c r="J8" s="16">
        <f>+H8*I8</f>
        <v>344166</v>
      </c>
    </row>
    <row r="9" spans="2:10" x14ac:dyDescent="0.4">
      <c r="B9" s="30" t="str">
        <f>+Diario!C52</f>
        <v>Herramientas</v>
      </c>
      <c r="C9" s="30" t="str">
        <f>+Diario!B51</f>
        <v>10.12</v>
      </c>
      <c r="D9" s="37">
        <f>+Diario!F52</f>
        <v>13500000</v>
      </c>
      <c r="E9" s="46">
        <f>+D9*0.2</f>
        <v>2700000</v>
      </c>
      <c r="F9" s="16">
        <f t="shared" ref="F9" si="2">+D9-E9</f>
        <v>10800000</v>
      </c>
      <c r="G9" s="16">
        <f>4*12</f>
        <v>48</v>
      </c>
      <c r="H9" s="36">
        <f>ROUND(+F9/G9,0)</f>
        <v>225000</v>
      </c>
      <c r="I9" s="15">
        <v>1</v>
      </c>
      <c r="J9" s="16">
        <f>+H9*I9</f>
        <v>225000</v>
      </c>
    </row>
    <row r="10" spans="2:10" ht="15.4" thickBot="1" x14ac:dyDescent="0.45">
      <c r="B10" s="31" t="s">
        <v>71</v>
      </c>
      <c r="C10" s="31" t="s">
        <v>82</v>
      </c>
      <c r="D10" s="50">
        <v>210000000</v>
      </c>
      <c r="E10" s="47"/>
      <c r="F10" s="17">
        <f t="shared" si="0"/>
        <v>210000000</v>
      </c>
      <c r="G10" s="17"/>
      <c r="H10" s="41"/>
      <c r="I10" s="28"/>
      <c r="J10" s="17"/>
    </row>
    <row r="11" spans="2:10" ht="15.4" thickBot="1" x14ac:dyDescent="0.45"/>
    <row r="12" spans="2:10" ht="15.4" thickBot="1" x14ac:dyDescent="0.45">
      <c r="B12" s="57" t="s">
        <v>0</v>
      </c>
      <c r="C12" s="58"/>
      <c r="D12" s="78" t="s">
        <v>1</v>
      </c>
      <c r="E12" s="79"/>
      <c r="F12" s="80"/>
      <c r="H12" s="39" t="s">
        <v>2</v>
      </c>
      <c r="I12" s="39" t="s">
        <v>3</v>
      </c>
    </row>
    <row r="13" spans="2:10" x14ac:dyDescent="0.4">
      <c r="B13" s="18" t="s">
        <v>37</v>
      </c>
      <c r="C13" s="33"/>
      <c r="D13" s="18"/>
      <c r="E13" s="32" t="s">
        <v>70</v>
      </c>
      <c r="F13" s="25"/>
      <c r="H13" s="14"/>
      <c r="I13" s="29"/>
    </row>
    <row r="14" spans="2:10" x14ac:dyDescent="0.4">
      <c r="B14" s="20" t="s">
        <v>38</v>
      </c>
      <c r="C14" s="34"/>
      <c r="D14" s="20" t="s">
        <v>39</v>
      </c>
      <c r="E14" s="21"/>
      <c r="F14" s="26"/>
      <c r="H14" s="36">
        <f>+J5</f>
        <v>2108680</v>
      </c>
      <c r="I14" s="30"/>
    </row>
    <row r="15" spans="2:10" x14ac:dyDescent="0.4">
      <c r="B15" s="20" t="str">
        <f>+B14</f>
        <v>Gasto</v>
      </c>
      <c r="C15" s="34"/>
      <c r="D15" s="20" t="s">
        <v>72</v>
      </c>
      <c r="E15" s="21"/>
      <c r="F15" s="26"/>
      <c r="H15" s="36">
        <f>+J6</f>
        <v>1750002</v>
      </c>
      <c r="I15" s="37"/>
    </row>
    <row r="16" spans="2:10" x14ac:dyDescent="0.4">
      <c r="B16" s="20" t="str">
        <f>+B15</f>
        <v>Gasto</v>
      </c>
      <c r="C16" s="34"/>
      <c r="D16" s="20" t="s">
        <v>42</v>
      </c>
      <c r="E16" s="21"/>
      <c r="F16" s="26"/>
      <c r="H16" s="36">
        <f>+J7</f>
        <v>3081234</v>
      </c>
      <c r="I16" s="30"/>
    </row>
    <row r="17" spans="2:9" x14ac:dyDescent="0.4">
      <c r="B17" s="20" t="str">
        <f>+B16</f>
        <v>Gasto</v>
      </c>
      <c r="C17" s="34"/>
      <c r="D17" s="20" t="s">
        <v>43</v>
      </c>
      <c r="E17" s="21"/>
      <c r="F17" s="26"/>
      <c r="H17" s="36">
        <f>+J8</f>
        <v>344166</v>
      </c>
      <c r="I17" s="37"/>
    </row>
    <row r="18" spans="2:9" x14ac:dyDescent="0.4">
      <c r="B18" s="20" t="str">
        <f>+B16</f>
        <v>Gasto</v>
      </c>
      <c r="C18" s="34"/>
      <c r="D18" s="20" t="s">
        <v>73</v>
      </c>
      <c r="E18" s="21"/>
      <c r="F18" s="26"/>
      <c r="H18" s="36">
        <f>+J9</f>
        <v>225000</v>
      </c>
      <c r="I18" s="30"/>
    </row>
    <row r="19" spans="2:9" x14ac:dyDescent="0.4">
      <c r="B19" s="20" t="s">
        <v>11</v>
      </c>
      <c r="C19" s="34"/>
      <c r="D19" s="20"/>
      <c r="E19" s="21" t="s">
        <v>74</v>
      </c>
      <c r="F19" s="26"/>
      <c r="H19" s="15"/>
      <c r="I19" s="37">
        <f>+H14+H15+H16+H17+H18</f>
        <v>7509082</v>
      </c>
    </row>
    <row r="20" spans="2:9" x14ac:dyDescent="0.4">
      <c r="B20" s="20"/>
      <c r="C20" s="34"/>
      <c r="D20" s="20"/>
      <c r="E20" s="21"/>
      <c r="F20" s="26"/>
      <c r="H20" s="36"/>
      <c r="I20" s="30"/>
    </row>
    <row r="21" spans="2:9" x14ac:dyDescent="0.4">
      <c r="B21" s="20"/>
      <c r="C21" s="34"/>
      <c r="D21" s="20"/>
      <c r="E21" s="21"/>
      <c r="F21" s="26"/>
      <c r="H21" s="15"/>
      <c r="I21" s="37"/>
    </row>
    <row r="22" spans="2:9" ht="15.4" thickBot="1" x14ac:dyDescent="0.45">
      <c r="B22" s="22"/>
      <c r="C22" s="35"/>
      <c r="D22" s="22" t="s">
        <v>44</v>
      </c>
      <c r="E22" s="23"/>
      <c r="F22" s="27"/>
      <c r="H22" s="28"/>
      <c r="I22" s="31"/>
    </row>
  </sheetData>
  <mergeCells count="4">
    <mergeCell ref="D12:F12"/>
    <mergeCell ref="D2:D3"/>
    <mergeCell ref="C2:C3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tabSelected="1" zoomScaleNormal="100" workbookViewId="0">
      <selection activeCell="E13" sqref="E13"/>
    </sheetView>
  </sheetViews>
  <sheetFormatPr baseColWidth="10" defaultColWidth="11.3984375" defaultRowHeight="15" x14ac:dyDescent="0.4"/>
  <cols>
    <col min="1" max="1" width="3" style="11" customWidth="1"/>
    <col min="2" max="2" width="16.53125" style="11" bestFit="1" customWidth="1"/>
    <col min="3" max="3" width="7.265625" style="11" bestFit="1" customWidth="1"/>
    <col min="4" max="4" width="16.59765625" style="11" customWidth="1"/>
    <col min="5" max="5" width="12.1328125" style="13" customWidth="1"/>
    <col min="6" max="6" width="16.1328125" style="13" bestFit="1" customWidth="1"/>
    <col min="7" max="7" width="15.3984375" style="13" bestFit="1" customWidth="1"/>
    <col min="8" max="8" width="7.59765625" style="13" bestFit="1" customWidth="1"/>
    <col min="9" max="9" width="14.265625" style="12" bestFit="1" customWidth="1"/>
    <col min="10" max="10" width="14" style="11" bestFit="1" customWidth="1"/>
    <col min="11" max="11" width="14.73046875" style="11" bestFit="1" customWidth="1"/>
    <col min="12" max="16384" width="11.3984375" style="11"/>
  </cols>
  <sheetData>
    <row r="1" spans="2:11" ht="15.4" thickBot="1" x14ac:dyDescent="0.45"/>
    <row r="2" spans="2:11" ht="15.75" customHeight="1" x14ac:dyDescent="0.4">
      <c r="B2" s="81" t="s">
        <v>1</v>
      </c>
      <c r="C2" s="81" t="s">
        <v>0</v>
      </c>
      <c r="D2" s="81" t="s">
        <v>25</v>
      </c>
      <c r="E2" s="59" t="s">
        <v>46</v>
      </c>
      <c r="F2" s="52" t="s">
        <v>28</v>
      </c>
      <c r="G2" s="52" t="s">
        <v>46</v>
      </c>
      <c r="H2" s="52" t="s">
        <v>30</v>
      </c>
      <c r="I2" s="53" t="s">
        <v>32</v>
      </c>
      <c r="J2" s="53" t="s">
        <v>45</v>
      </c>
      <c r="K2" s="53" t="s">
        <v>32</v>
      </c>
    </row>
    <row r="3" spans="2:11" x14ac:dyDescent="0.4">
      <c r="B3" s="83"/>
      <c r="C3" s="83"/>
      <c r="D3" s="83"/>
      <c r="E3" s="62" t="s">
        <v>47</v>
      </c>
      <c r="F3" s="63" t="s">
        <v>48</v>
      </c>
      <c r="G3" s="63" t="s">
        <v>49</v>
      </c>
      <c r="H3" s="63" t="s">
        <v>31</v>
      </c>
      <c r="I3" s="64" t="s">
        <v>33</v>
      </c>
      <c r="J3" s="64" t="s">
        <v>34</v>
      </c>
      <c r="K3" s="64" t="s">
        <v>35</v>
      </c>
    </row>
    <row r="4" spans="2:11" x14ac:dyDescent="0.4">
      <c r="B4" s="65" t="str">
        <f>+'PPE FINANCIERO'!B4</f>
        <v>Terrenos</v>
      </c>
      <c r="C4" s="65" t="str">
        <f>+'PPE FINANCIERO'!C4</f>
        <v>05.04</v>
      </c>
      <c r="D4" s="66">
        <f>+'PPE FINANCIERO'!D4</f>
        <v>350000000</v>
      </c>
      <c r="E4" s="67">
        <v>1.03</v>
      </c>
      <c r="F4" s="68">
        <f>ROUND(+D4*E4,0)</f>
        <v>360500000</v>
      </c>
      <c r="G4" s="68">
        <f>+F4-D4</f>
        <v>10500000</v>
      </c>
      <c r="H4" s="69">
        <v>0</v>
      </c>
      <c r="I4" s="70"/>
      <c r="J4" s="71"/>
      <c r="K4" s="71"/>
    </row>
    <row r="5" spans="2:11" x14ac:dyDescent="0.4">
      <c r="B5" s="65" t="str">
        <f>+'PPE FINANCIERO'!B5</f>
        <v>Edificios</v>
      </c>
      <c r="C5" s="65" t="str">
        <f>+'PPE FINANCIERO'!C5</f>
        <v>10.05</v>
      </c>
      <c r="D5" s="66">
        <f>+'PPE FINANCIERO'!D5</f>
        <v>378151261</v>
      </c>
      <c r="E5" s="67">
        <v>1.0249999999999999</v>
      </c>
      <c r="F5" s="68">
        <f>ROUND(+D5*E5,0)</f>
        <v>387605043</v>
      </c>
      <c r="G5" s="68">
        <f>+F5-D5</f>
        <v>9453782</v>
      </c>
      <c r="H5" s="68">
        <f>60*12</f>
        <v>720</v>
      </c>
      <c r="I5" s="72">
        <f>ROUND(+F5/H5,0)</f>
        <v>538340</v>
      </c>
      <c r="J5" s="73">
        <f>+'PPE FINANCIERO'!I5</f>
        <v>8</v>
      </c>
      <c r="K5" s="68">
        <f>+I5*J5</f>
        <v>4306720</v>
      </c>
    </row>
    <row r="6" spans="2:11" x14ac:dyDescent="0.4">
      <c r="B6" s="65" t="str">
        <f>+'PPE FINANCIERO'!B6</f>
        <v>Muebles y Útiles</v>
      </c>
      <c r="C6" s="65" t="str">
        <f>+'PPE FINANCIERO'!C6</f>
        <v>20.07</v>
      </c>
      <c r="D6" s="66">
        <f>+'PPE FINANCIERO'!D6</f>
        <v>35000000</v>
      </c>
      <c r="E6" s="67">
        <v>1.0229999999999999</v>
      </c>
      <c r="F6" s="68">
        <f t="shared" ref="F6:F10" si="0">ROUND(+D6*E6,0)</f>
        <v>35805000</v>
      </c>
      <c r="G6" s="68">
        <f t="shared" ref="G6:G10" si="1">+F6-D6</f>
        <v>805000</v>
      </c>
      <c r="H6" s="68">
        <f>4*12</f>
        <v>48</v>
      </c>
      <c r="I6" s="72">
        <f t="shared" ref="I6:I8" si="2">ROUND(+F6/H6,0)</f>
        <v>745938</v>
      </c>
      <c r="J6" s="73">
        <f>+'PPE FINANCIERO'!I6</f>
        <v>6</v>
      </c>
      <c r="K6" s="68">
        <f t="shared" ref="K6:K8" si="3">+I6*J6</f>
        <v>4475628</v>
      </c>
    </row>
    <row r="7" spans="2:11" x14ac:dyDescent="0.4">
      <c r="B7" s="65" t="str">
        <f>+'PPE FINANCIERO'!B7</f>
        <v>Vehículos</v>
      </c>
      <c r="C7" s="65" t="str">
        <f>+'PPE FINANCIERO'!C7</f>
        <v>17.10</v>
      </c>
      <c r="D7" s="66">
        <f>+'PPE FINANCIERO'!D7</f>
        <v>92436975</v>
      </c>
      <c r="E7" s="67">
        <v>1.012</v>
      </c>
      <c r="F7" s="68">
        <f t="shared" si="0"/>
        <v>93546219</v>
      </c>
      <c r="G7" s="68">
        <f t="shared" si="1"/>
        <v>1109244</v>
      </c>
      <c r="H7" s="68">
        <f>8*12</f>
        <v>96</v>
      </c>
      <c r="I7" s="72">
        <f t="shared" si="2"/>
        <v>974440</v>
      </c>
      <c r="J7" s="73">
        <f>+'PPE FINANCIERO'!I7</f>
        <v>3</v>
      </c>
      <c r="K7" s="68">
        <f t="shared" si="3"/>
        <v>2923320</v>
      </c>
    </row>
    <row r="8" spans="2:11" x14ac:dyDescent="0.4">
      <c r="B8" s="65" t="str">
        <f>+'PPE FINANCIERO'!B8</f>
        <v>Maquinarias</v>
      </c>
      <c r="C8" s="65" t="str">
        <f>+'PPE FINANCIERO'!C8</f>
        <v>11.11</v>
      </c>
      <c r="D8" s="66">
        <f>+'PPE FINANCIERO'!D8</f>
        <v>28520000</v>
      </c>
      <c r="E8" s="67">
        <v>1.0029999999999999</v>
      </c>
      <c r="F8" s="68">
        <f t="shared" si="0"/>
        <v>28605560</v>
      </c>
      <c r="G8" s="68">
        <f t="shared" si="1"/>
        <v>85560</v>
      </c>
      <c r="H8" s="68">
        <f>4*12</f>
        <v>48</v>
      </c>
      <c r="I8" s="72">
        <f t="shared" si="2"/>
        <v>595949</v>
      </c>
      <c r="J8" s="73">
        <f>+'PPE FINANCIERO'!I8</f>
        <v>2</v>
      </c>
      <c r="K8" s="68">
        <f t="shared" si="3"/>
        <v>1191898</v>
      </c>
    </row>
    <row r="9" spans="2:11" x14ac:dyDescent="0.4">
      <c r="B9" s="65" t="str">
        <f>+'PPE FINANCIERO'!B9</f>
        <v>Herramientas</v>
      </c>
      <c r="C9" s="65" t="str">
        <f>+'PPE FINANCIERO'!C9</f>
        <v>10.12</v>
      </c>
      <c r="D9" s="66">
        <f>+'PPE FINANCIERO'!D9</f>
        <v>13500000</v>
      </c>
      <c r="E9" s="67">
        <v>1</v>
      </c>
      <c r="F9" s="68">
        <f t="shared" si="0"/>
        <v>13500000</v>
      </c>
      <c r="G9" s="68">
        <f t="shared" si="1"/>
        <v>0</v>
      </c>
      <c r="H9" s="68">
        <f>2*12</f>
        <v>24</v>
      </c>
      <c r="I9" s="72">
        <f t="shared" ref="I9" si="4">ROUND(+F9/H9,0)</f>
        <v>562500</v>
      </c>
      <c r="J9" s="73">
        <f>+'PPE FINANCIERO'!I9</f>
        <v>1</v>
      </c>
      <c r="K9" s="68">
        <f>+I9*J9</f>
        <v>562500</v>
      </c>
    </row>
    <row r="10" spans="2:11" x14ac:dyDescent="0.4">
      <c r="B10" s="65" t="str">
        <f>+'PPE FINANCIERO'!B10</f>
        <v>terrenos 2</v>
      </c>
      <c r="C10" s="65" t="str">
        <f>+'PPE FINANCIERO'!C10</f>
        <v>31.12</v>
      </c>
      <c r="D10" s="66">
        <f>+'PPE FINANCIERO'!D10</f>
        <v>210000000</v>
      </c>
      <c r="E10" s="67">
        <v>1.042</v>
      </c>
      <c r="F10" s="68">
        <f t="shared" si="0"/>
        <v>218820000</v>
      </c>
      <c r="G10" s="68">
        <f t="shared" si="1"/>
        <v>8820000</v>
      </c>
      <c r="H10" s="69"/>
      <c r="I10" s="74"/>
      <c r="J10" s="70"/>
      <c r="K10" s="69"/>
    </row>
    <row r="11" spans="2:11" ht="6" customHeight="1" thickBot="1" x14ac:dyDescent="0.45"/>
    <row r="12" spans="2:11" ht="15.4" thickBot="1" x14ac:dyDescent="0.45">
      <c r="B12" s="57" t="s">
        <v>0</v>
      </c>
      <c r="C12" s="58"/>
      <c r="D12" s="78" t="s">
        <v>1</v>
      </c>
      <c r="E12" s="79"/>
      <c r="F12" s="80"/>
      <c r="G12" s="60"/>
      <c r="I12" s="39" t="s">
        <v>2</v>
      </c>
      <c r="J12" s="39" t="s">
        <v>3</v>
      </c>
    </row>
    <row r="13" spans="2:11" x14ac:dyDescent="0.4">
      <c r="B13" s="18" t="s">
        <v>37</v>
      </c>
      <c r="C13" s="33"/>
      <c r="D13" s="18"/>
      <c r="E13" s="32" t="s">
        <v>75</v>
      </c>
      <c r="F13" s="25"/>
      <c r="G13" s="21"/>
      <c r="I13" s="14"/>
      <c r="J13" s="29"/>
    </row>
    <row r="14" spans="2:11" x14ac:dyDescent="0.4">
      <c r="B14" s="20" t="s">
        <v>5</v>
      </c>
      <c r="C14" s="34"/>
      <c r="D14" s="20" t="str">
        <f t="shared" ref="D14:D19" si="5">+B4</f>
        <v>Terrenos</v>
      </c>
      <c r="E14" s="21"/>
      <c r="F14" s="26"/>
      <c r="G14" s="21"/>
      <c r="I14" s="36">
        <f>+G4+G10</f>
        <v>19320000</v>
      </c>
      <c r="J14" s="30"/>
    </row>
    <row r="15" spans="2:11" x14ac:dyDescent="0.4">
      <c r="B15" s="20" t="s">
        <v>5</v>
      </c>
      <c r="C15" s="34"/>
      <c r="D15" s="20" t="str">
        <f t="shared" si="5"/>
        <v>Edificios</v>
      </c>
      <c r="E15" s="21"/>
      <c r="F15" s="26"/>
      <c r="G15" s="21"/>
      <c r="I15" s="36">
        <f>+G5</f>
        <v>9453782</v>
      </c>
      <c r="J15" s="37"/>
    </row>
    <row r="16" spans="2:11" x14ac:dyDescent="0.4">
      <c r="B16" s="20" t="s">
        <v>5</v>
      </c>
      <c r="C16" s="34"/>
      <c r="D16" s="20" t="str">
        <f t="shared" si="5"/>
        <v>Muebles y Útiles</v>
      </c>
      <c r="E16" s="21"/>
      <c r="F16" s="26"/>
      <c r="G16" s="21"/>
      <c r="I16" s="36">
        <f>+G6</f>
        <v>805000</v>
      </c>
      <c r="J16" s="37"/>
    </row>
    <row r="17" spans="2:10" x14ac:dyDescent="0.4">
      <c r="B17" s="20" t="s">
        <v>5</v>
      </c>
      <c r="C17" s="34"/>
      <c r="D17" s="20" t="str">
        <f t="shared" si="5"/>
        <v>Vehículos</v>
      </c>
      <c r="E17" s="21"/>
      <c r="F17" s="26"/>
      <c r="G17" s="21"/>
      <c r="I17" s="36">
        <f>+G7</f>
        <v>1109244</v>
      </c>
      <c r="J17" s="30"/>
    </row>
    <row r="18" spans="2:10" x14ac:dyDescent="0.4">
      <c r="B18" s="20" t="s">
        <v>5</v>
      </c>
      <c r="C18" s="34"/>
      <c r="D18" s="20" t="str">
        <f t="shared" si="5"/>
        <v>Maquinarias</v>
      </c>
      <c r="E18" s="21"/>
      <c r="F18" s="26"/>
      <c r="G18" s="21"/>
      <c r="I18" s="36">
        <f>+G8</f>
        <v>85560</v>
      </c>
      <c r="J18" s="37"/>
    </row>
    <row r="19" spans="2:10" x14ac:dyDescent="0.4">
      <c r="B19" s="20" t="str">
        <f>+B18</f>
        <v>Activo</v>
      </c>
      <c r="C19" s="34"/>
      <c r="D19" s="20" t="str">
        <f t="shared" si="5"/>
        <v>Herramientas</v>
      </c>
      <c r="E19" s="21"/>
      <c r="F19" s="26"/>
      <c r="G19" s="21"/>
      <c r="I19" s="36">
        <f>+G9</f>
        <v>0</v>
      </c>
      <c r="J19" s="37"/>
    </row>
    <row r="20" spans="2:10" x14ac:dyDescent="0.4">
      <c r="B20" s="20" t="s">
        <v>51</v>
      </c>
      <c r="C20" s="34"/>
      <c r="D20" s="20"/>
      <c r="E20" s="21" t="s">
        <v>53</v>
      </c>
      <c r="F20" s="26"/>
      <c r="G20" s="21"/>
      <c r="I20" s="15"/>
      <c r="J20" s="37">
        <f>+I14+I15+I16+I17+I18+I19</f>
        <v>30773586</v>
      </c>
    </row>
    <row r="21" spans="2:10" x14ac:dyDescent="0.4">
      <c r="B21" s="20"/>
      <c r="C21" s="34"/>
      <c r="D21" s="20" t="s">
        <v>52</v>
      </c>
      <c r="E21" s="21"/>
      <c r="F21" s="26"/>
      <c r="G21" s="21"/>
      <c r="I21" s="15"/>
      <c r="J21" s="37"/>
    </row>
    <row r="22" spans="2:10" ht="15.4" thickBot="1" x14ac:dyDescent="0.45">
      <c r="B22" s="22"/>
      <c r="C22" s="35"/>
      <c r="D22" s="22"/>
      <c r="E22" s="23"/>
      <c r="F22" s="27"/>
      <c r="G22" s="21"/>
      <c r="I22" s="28"/>
      <c r="J22" s="31"/>
    </row>
    <row r="23" spans="2:10" ht="15.4" thickBot="1" x14ac:dyDescent="0.45"/>
    <row r="24" spans="2:10" ht="15.4" thickBot="1" x14ac:dyDescent="0.45">
      <c r="B24" s="57" t="s">
        <v>0</v>
      </c>
      <c r="C24" s="58"/>
      <c r="D24" s="78" t="s">
        <v>1</v>
      </c>
      <c r="E24" s="79"/>
      <c r="F24" s="80"/>
      <c r="G24" s="60"/>
      <c r="I24" s="39" t="s">
        <v>2</v>
      </c>
      <c r="J24" s="39" t="s">
        <v>3</v>
      </c>
    </row>
    <row r="25" spans="2:10" x14ac:dyDescent="0.4">
      <c r="B25" s="18" t="s">
        <v>37</v>
      </c>
      <c r="C25" s="33"/>
      <c r="D25" s="18"/>
      <c r="E25" s="32" t="s">
        <v>76</v>
      </c>
      <c r="F25" s="25"/>
      <c r="G25" s="21"/>
      <c r="I25" s="14"/>
      <c r="J25" s="29"/>
    </row>
    <row r="26" spans="2:10" x14ac:dyDescent="0.4">
      <c r="B26" s="20" t="s">
        <v>38</v>
      </c>
      <c r="C26" s="34"/>
      <c r="D26" s="20" t="s">
        <v>55</v>
      </c>
      <c r="E26" s="61"/>
      <c r="F26" s="26"/>
      <c r="G26" s="21"/>
      <c r="I26" s="36">
        <f>+K5</f>
        <v>4306720</v>
      </c>
      <c r="J26" s="30"/>
    </row>
    <row r="27" spans="2:10" x14ac:dyDescent="0.4">
      <c r="B27" s="20" t="s">
        <v>11</v>
      </c>
      <c r="C27" s="34"/>
      <c r="D27" s="20"/>
      <c r="E27" s="21" t="s">
        <v>40</v>
      </c>
      <c r="F27" s="26"/>
      <c r="G27" s="21"/>
      <c r="I27" s="15"/>
      <c r="J27" s="37">
        <f>+I26</f>
        <v>4306720</v>
      </c>
    </row>
    <row r="28" spans="2:10" x14ac:dyDescent="0.4">
      <c r="B28" s="20" t="s">
        <v>38</v>
      </c>
      <c r="C28" s="34"/>
      <c r="D28" s="20" t="s">
        <v>41</v>
      </c>
      <c r="E28" s="21"/>
      <c r="F28" s="26"/>
      <c r="G28" s="21"/>
      <c r="I28" s="36">
        <f>+K6</f>
        <v>4475628</v>
      </c>
      <c r="J28" s="30"/>
    </row>
    <row r="29" spans="2:10" x14ac:dyDescent="0.4">
      <c r="B29" s="20" t="s">
        <v>11</v>
      </c>
      <c r="C29" s="34"/>
      <c r="D29" s="20"/>
      <c r="E29" s="21" t="s">
        <v>40</v>
      </c>
      <c r="F29" s="26"/>
      <c r="G29" s="21"/>
      <c r="I29" s="36"/>
      <c r="J29" s="37">
        <f>+I28</f>
        <v>4475628</v>
      </c>
    </row>
    <row r="30" spans="2:10" x14ac:dyDescent="0.4">
      <c r="B30" s="20" t="s">
        <v>38</v>
      </c>
      <c r="C30" s="34"/>
      <c r="D30" s="20" t="s">
        <v>42</v>
      </c>
      <c r="E30" s="21"/>
      <c r="F30" s="26"/>
      <c r="G30" s="21"/>
      <c r="I30" s="36">
        <f>+K7</f>
        <v>2923320</v>
      </c>
      <c r="J30" s="30"/>
    </row>
    <row r="31" spans="2:10" x14ac:dyDescent="0.4">
      <c r="B31" s="20" t="s">
        <v>11</v>
      </c>
      <c r="C31" s="34"/>
      <c r="D31" s="20"/>
      <c r="E31" s="21" t="str">
        <f>+E29</f>
        <v>Depreciación Acumulada</v>
      </c>
      <c r="F31" s="26"/>
      <c r="G31" s="21"/>
      <c r="I31" s="36"/>
      <c r="J31" s="37">
        <f>+I30</f>
        <v>2923320</v>
      </c>
    </row>
    <row r="32" spans="2:10" x14ac:dyDescent="0.4">
      <c r="B32" s="20" t="s">
        <v>38</v>
      </c>
      <c r="C32" s="34"/>
      <c r="D32" s="20" t="s">
        <v>43</v>
      </c>
      <c r="E32" s="21"/>
      <c r="F32" s="26"/>
      <c r="G32" s="21"/>
      <c r="I32" s="36">
        <f>+K8</f>
        <v>1191898</v>
      </c>
      <c r="J32" s="37"/>
    </row>
    <row r="33" spans="2:10" x14ac:dyDescent="0.4">
      <c r="B33" s="20" t="s">
        <v>11</v>
      </c>
      <c r="C33" s="34"/>
      <c r="D33" s="20"/>
      <c r="E33" s="21" t="str">
        <f>+E31</f>
        <v>Depreciación Acumulada</v>
      </c>
      <c r="F33" s="26"/>
      <c r="G33" s="21"/>
      <c r="I33" s="15"/>
      <c r="J33" s="37">
        <f>+I32</f>
        <v>1191898</v>
      </c>
    </row>
    <row r="34" spans="2:10" x14ac:dyDescent="0.4">
      <c r="B34" s="20" t="str">
        <f>+B32</f>
        <v>Gasto</v>
      </c>
      <c r="C34" s="34"/>
      <c r="D34" s="20" t="s">
        <v>73</v>
      </c>
      <c r="E34" s="21"/>
      <c r="F34" s="26"/>
      <c r="G34" s="21"/>
      <c r="I34" s="36">
        <f>+K9</f>
        <v>562500</v>
      </c>
      <c r="J34" s="37"/>
    </row>
    <row r="35" spans="2:10" x14ac:dyDescent="0.4">
      <c r="B35" s="20" t="str">
        <f>+B33</f>
        <v>Pasivo</v>
      </c>
      <c r="C35" s="34"/>
      <c r="D35" s="20"/>
      <c r="E35" s="21" t="str">
        <f>+E33</f>
        <v>Depreciación Acumulada</v>
      </c>
      <c r="F35" s="26"/>
      <c r="G35" s="21"/>
      <c r="I35" s="15"/>
      <c r="J35" s="37">
        <f>+I34</f>
        <v>562500</v>
      </c>
    </row>
    <row r="36" spans="2:10" x14ac:dyDescent="0.4">
      <c r="B36" s="20"/>
      <c r="C36" s="34"/>
      <c r="D36" s="20"/>
      <c r="E36" s="21"/>
      <c r="F36" s="26"/>
      <c r="G36" s="21"/>
      <c r="I36" s="15"/>
      <c r="J36" s="37"/>
    </row>
    <row r="37" spans="2:10" ht="15.4" thickBot="1" x14ac:dyDescent="0.45">
      <c r="B37" s="22"/>
      <c r="C37" s="35"/>
      <c r="D37" s="22" t="s">
        <v>56</v>
      </c>
      <c r="E37" s="23"/>
      <c r="F37" s="27"/>
      <c r="G37" s="21"/>
      <c r="I37" s="28"/>
      <c r="J37" s="31"/>
    </row>
  </sheetData>
  <mergeCells count="5">
    <mergeCell ref="B2:B3"/>
    <mergeCell ref="C2:C3"/>
    <mergeCell ref="D2:D3"/>
    <mergeCell ref="D12:F12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PPE FINANCIERO</vt:lpstr>
      <vt:lpstr>PPE TRIBUTARIO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Carlos Andrés Filgueira</cp:lastModifiedBy>
  <dcterms:created xsi:type="dcterms:W3CDTF">2025-03-11T14:54:13Z</dcterms:created>
  <dcterms:modified xsi:type="dcterms:W3CDTF">2025-03-27T18:42:03Z</dcterms:modified>
</cp:coreProperties>
</file>